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205" firstSheet="2" activeTab="4"/>
  </bookViews>
  <sheets>
    <sheet name="Life Cycle Cost Model" sheetId="1" r:id="rId1"/>
    <sheet name="Component Costs - Option 1" sheetId="2" r:id="rId2"/>
    <sheet name="Component Cost - Option 2" sheetId="3" r:id="rId3"/>
    <sheet name="Component Cost - Option 3" sheetId="4" r:id="rId4"/>
    <sheet name="Calculations Sheet" sheetId="5" r:id="rId5"/>
    <sheet name="Sheet2" sheetId="6" r:id="rId6"/>
    <sheet name="Sheet1" sheetId="7" r:id="rId7"/>
  </sheets>
  <externalReferences>
    <externalReference r:id="rId10"/>
  </externalReferences>
  <definedNames>
    <definedName name="_xlnm.Print_Area" localSheetId="2">'Component Cost - Option 2'!$A$1:$W$60</definedName>
    <definedName name="_xlnm.Print_Area" localSheetId="3">'Component Cost - Option 3'!$A$1:$W$60</definedName>
    <definedName name="_xlnm.Print_Area" localSheetId="1">'Component Costs - Option 1'!$A$1:$X$60</definedName>
    <definedName name="_xlnm.Print_Area" localSheetId="0">'Life Cycle Cost Model'!$A$1:$V$68</definedName>
  </definedNames>
  <calcPr fullCalcOnLoad="1"/>
</workbook>
</file>

<file path=xl/comments1.xml><?xml version="1.0" encoding="utf-8"?>
<comments xmlns="http://schemas.openxmlformats.org/spreadsheetml/2006/main">
  <authors>
    <author>SRWA</author>
  </authors>
  <commentList>
    <comment ref="D2" authorId="0">
      <text>
        <r>
          <rPr>
            <b/>
            <sz val="8"/>
            <rFont val="Tahoma"/>
            <family val="0"/>
          </rPr>
          <t>SRWA:</t>
        </r>
        <r>
          <rPr>
            <sz val="8"/>
            <rFont val="Tahoma"/>
            <family val="0"/>
          </rPr>
          <t xml:space="preserve">
Net Present Value - a projects net  contribution to wealth - present value minus initial investment</t>
        </r>
      </text>
    </comment>
    <comment ref="A19" authorId="0">
      <text>
        <r>
          <rPr>
            <b/>
            <sz val="8"/>
            <rFont val="Tahoma"/>
            <family val="0"/>
          </rPr>
          <t>SRWA:</t>
        </r>
        <r>
          <rPr>
            <sz val="8"/>
            <rFont val="Tahoma"/>
            <family val="0"/>
          </rPr>
          <t xml:space="preserve">
Net operating position - annual operating revenues less costs</t>
        </r>
      </text>
    </comment>
  </commentList>
</comments>
</file>

<file path=xl/comments2.xml><?xml version="1.0" encoding="utf-8"?>
<comments xmlns="http://schemas.openxmlformats.org/spreadsheetml/2006/main">
  <authors>
    <author>SRWA</author>
  </authors>
  <commentList>
    <comment ref="A57" authorId="0">
      <text>
        <r>
          <rPr>
            <b/>
            <sz val="8"/>
            <rFont val="Tahoma"/>
            <family val="0"/>
          </rPr>
          <t>SRWA:</t>
        </r>
        <r>
          <rPr>
            <sz val="8"/>
            <rFont val="Tahoma"/>
            <family val="0"/>
          </rPr>
          <t xml:space="preserve">
costs are the net position = revenues less annual operating costs - including interest and depreciation.</t>
        </r>
      </text>
    </comment>
  </commentList>
</comments>
</file>

<file path=xl/comments3.xml><?xml version="1.0" encoding="utf-8"?>
<comments xmlns="http://schemas.openxmlformats.org/spreadsheetml/2006/main">
  <authors>
    <author>SRWA</author>
  </authors>
  <commentList>
    <comment ref="A57" authorId="0">
      <text>
        <r>
          <rPr>
            <b/>
            <sz val="8"/>
            <rFont val="Tahoma"/>
            <family val="0"/>
          </rPr>
          <t>SRWA:</t>
        </r>
        <r>
          <rPr>
            <sz val="8"/>
            <rFont val="Tahoma"/>
            <family val="0"/>
          </rPr>
          <t xml:space="preserve">
costs are the net position = revenues less annual operating costs - including interest and depreciation.</t>
        </r>
      </text>
    </comment>
  </commentList>
</comments>
</file>

<file path=xl/comments4.xml><?xml version="1.0" encoding="utf-8"?>
<comments xmlns="http://schemas.openxmlformats.org/spreadsheetml/2006/main">
  <authors>
    <author>SRWA</author>
  </authors>
  <commentList>
    <comment ref="A57" authorId="0">
      <text>
        <r>
          <rPr>
            <b/>
            <sz val="8"/>
            <rFont val="Tahoma"/>
            <family val="0"/>
          </rPr>
          <t>SRWA:</t>
        </r>
        <r>
          <rPr>
            <sz val="8"/>
            <rFont val="Tahoma"/>
            <family val="0"/>
          </rPr>
          <t xml:space="preserve">
costs are the net position = revenues less annual operating costs - including interest and depreciation.</t>
        </r>
      </text>
    </comment>
  </commentList>
</comments>
</file>

<file path=xl/sharedStrings.xml><?xml version="1.0" encoding="utf-8"?>
<sst xmlns="http://schemas.openxmlformats.org/spreadsheetml/2006/main" count="436" uniqueCount="125">
  <si>
    <t>Calculations</t>
  </si>
  <si>
    <t>Sensitivity Test 1</t>
  </si>
  <si>
    <t>Sensitivity Test 2</t>
  </si>
  <si>
    <t>Year</t>
  </si>
  <si>
    <t>Periods</t>
  </si>
  <si>
    <t>Sensitivity</t>
  </si>
  <si>
    <t>Inflation Rate</t>
  </si>
  <si>
    <t>Discount Rate</t>
  </si>
  <si>
    <t>Option 1</t>
  </si>
  <si>
    <t>Sensitivity 1</t>
  </si>
  <si>
    <t>Option 2</t>
  </si>
  <si>
    <t>Sensitivity 2</t>
  </si>
  <si>
    <t>Option 3</t>
  </si>
  <si>
    <t>Year 0</t>
  </si>
  <si>
    <t>Year 1</t>
  </si>
  <si>
    <t>Year 2</t>
  </si>
  <si>
    <t>Year 3</t>
  </si>
  <si>
    <t>Year 4</t>
  </si>
  <si>
    <t>Year 5</t>
  </si>
  <si>
    <t>Year 6</t>
  </si>
  <si>
    <t>Year 7</t>
  </si>
  <si>
    <t>Year 8</t>
  </si>
  <si>
    <t>Year 9</t>
  </si>
  <si>
    <t>Year 10</t>
  </si>
  <si>
    <t>Year 11</t>
  </si>
  <si>
    <t>Year 12</t>
  </si>
  <si>
    <t>Year 13</t>
  </si>
  <si>
    <t>Year 14</t>
  </si>
  <si>
    <t>Year 15</t>
  </si>
  <si>
    <t>Year 16</t>
  </si>
  <si>
    <t>Year 17</t>
  </si>
  <si>
    <t>Year 18</t>
  </si>
  <si>
    <t>Year 19</t>
  </si>
  <si>
    <t>Year 20</t>
  </si>
  <si>
    <t>Maintenance</t>
  </si>
  <si>
    <t>Total</t>
  </si>
  <si>
    <t>Period</t>
  </si>
  <si>
    <t xml:space="preserve"> </t>
  </si>
  <si>
    <t>LCC ANALYSIS PLAN</t>
  </si>
  <si>
    <t>Cost Generating Activities</t>
  </si>
  <si>
    <t>Year O</t>
  </si>
  <si>
    <t>Life Cycle Phases</t>
  </si>
  <si>
    <t>Concept and definition</t>
  </si>
  <si>
    <t>Market research</t>
  </si>
  <si>
    <t>Project management</t>
  </si>
  <si>
    <t>Concept and design analysis</t>
  </si>
  <si>
    <t>Product requirement spec. preparation</t>
  </si>
  <si>
    <t>Design and development</t>
  </si>
  <si>
    <t>System and design engineering</t>
  </si>
  <si>
    <t>Design documentation</t>
  </si>
  <si>
    <t>Productivity engineering and planning</t>
  </si>
  <si>
    <t>Demonstration and validation</t>
  </si>
  <si>
    <t>Manufacturing and installation</t>
  </si>
  <si>
    <t>Engineering and operational analysis</t>
  </si>
  <si>
    <t>Production tooling and test equipment</t>
  </si>
  <si>
    <t>Training</t>
  </si>
  <si>
    <t>Spare parts and consumables</t>
  </si>
  <si>
    <t>Equipment and facilities</t>
  </si>
  <si>
    <t>Contract services</t>
  </si>
  <si>
    <t>IT support</t>
  </si>
  <si>
    <t>Routine maintanence</t>
  </si>
  <si>
    <t>Major programmed maintenance</t>
  </si>
  <si>
    <t>Unscheduled maintenance</t>
  </si>
  <si>
    <t>Support services</t>
  </si>
  <si>
    <t>Corporate management</t>
  </si>
  <si>
    <t>Administrative overheads</t>
  </si>
  <si>
    <t>Insurance</t>
  </si>
  <si>
    <t>System shutdown</t>
  </si>
  <si>
    <t>Concept and Definition</t>
  </si>
  <si>
    <t>Design and Development</t>
  </si>
  <si>
    <t>Manufacture and Installation</t>
  </si>
  <si>
    <t>OPTION 1</t>
  </si>
  <si>
    <t>Quality management</t>
  </si>
  <si>
    <t>Support Service</t>
  </si>
  <si>
    <t>Revenues</t>
  </si>
  <si>
    <t>Gross Revenues</t>
  </si>
  <si>
    <t>Depreciation and interest Costs</t>
  </si>
  <si>
    <t>Disassembly, recycling or safe disposal</t>
  </si>
  <si>
    <t>Utilities, cleaning and fees</t>
  </si>
  <si>
    <t>Legal and compliance fees</t>
  </si>
  <si>
    <t>Capital or Operating</t>
  </si>
  <si>
    <t>Op</t>
  </si>
  <si>
    <t>Cap</t>
  </si>
  <si>
    <t xml:space="preserve">Prototype fabrication, testing and evaluation </t>
  </si>
  <si>
    <t>Civil works</t>
  </si>
  <si>
    <t>Construction/Purchase/Manufacture</t>
  </si>
  <si>
    <t>Mobilisation / Demobilisation</t>
  </si>
  <si>
    <t>Facility training, Industry levies and Doc Management</t>
  </si>
  <si>
    <t>Project,  superintendance and contract management</t>
  </si>
  <si>
    <t>Tender preparation and vendor selection</t>
  </si>
  <si>
    <t>year 3</t>
  </si>
  <si>
    <t>year 4</t>
  </si>
  <si>
    <t>year 5</t>
  </si>
  <si>
    <t>year 6</t>
  </si>
  <si>
    <t>year 7</t>
  </si>
  <si>
    <t>year 8</t>
  </si>
  <si>
    <t>year 9</t>
  </si>
  <si>
    <t>year 10</t>
  </si>
  <si>
    <t>year 11</t>
  </si>
  <si>
    <t>year 12</t>
  </si>
  <si>
    <t>year 13</t>
  </si>
  <si>
    <t>year 14</t>
  </si>
  <si>
    <t>year 15</t>
  </si>
  <si>
    <t>year 16</t>
  </si>
  <si>
    <t>year 17</t>
  </si>
  <si>
    <t>year 18</t>
  </si>
  <si>
    <t>year 19</t>
  </si>
  <si>
    <t>Capital Costs</t>
  </si>
  <si>
    <t>Operating Costs</t>
  </si>
  <si>
    <t>Total Capital Costs</t>
  </si>
  <si>
    <t>Total Operating Costs</t>
  </si>
  <si>
    <t>Option 1 - Operating</t>
  </si>
  <si>
    <t>Option 2 - Operating</t>
  </si>
  <si>
    <t xml:space="preserve">Option 3 - Operating </t>
  </si>
  <si>
    <t>Option 1 - Capital</t>
  </si>
  <si>
    <t>Option 2 - Capital</t>
  </si>
  <si>
    <t xml:space="preserve">Option 3 - Capital </t>
  </si>
  <si>
    <t>Uninflated Values</t>
  </si>
  <si>
    <t>Inflated Values</t>
  </si>
  <si>
    <t>Consolidated Option Values</t>
  </si>
  <si>
    <t>Nett Gain / Subsidy</t>
  </si>
  <si>
    <t>(all values in $A)</t>
  </si>
  <si>
    <t>Net Present Value Result</t>
  </si>
  <si>
    <t>OPTION 2</t>
  </si>
  <si>
    <t>OPTION 3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</si>
</sst>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%"/>
    <numFmt numFmtId="165" formatCode="_(* #,##0.00_);_(* \(#,##0.00\);_(* &quot;-&quot;??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&quot;$&quot;* #,##0_);_(&quot;$&quot;* \(#,##0\);_(&quot;$&quot;* &quot;-&quot;_);_(@_)"/>
    <numFmt numFmtId="169" formatCode="0;[Red]0"/>
    <numFmt numFmtId="170" formatCode="0.00_ ;[Red]\-0.00\ "/>
    <numFmt numFmtId="171" formatCode="_-&quot;$&quot;* #,##0_-;\-&quot;$&quot;* #,##0_-;_-&quot;$&quot;* &quot;-&quot;??_-;_-@_-"/>
    <numFmt numFmtId="172" formatCode="&quot;$&quot;#,##0.00;[Red]&quot;$&quot;#,##0.00"/>
    <numFmt numFmtId="173" formatCode="0.0000_ ;[Red]\-0.0000\ "/>
    <numFmt numFmtId="174" formatCode="&quot;$&quot;#,##0.0;[Red]\-&quot;$&quot;#,##0.0"/>
    <numFmt numFmtId="175" formatCode="&quot;$&quot;#,##0;[Red]&quot;$&quot;#,##0"/>
    <numFmt numFmtId="176" formatCode="&quot;$&quot;#,##0.000;[Red]\-&quot;$&quot;#,##0.000"/>
    <numFmt numFmtId="177" formatCode="&quot;$&quot;#,##0.0000;[Red]\-&quot;$&quot;#,##0.0000"/>
    <numFmt numFmtId="178" formatCode="0.0000"/>
    <numFmt numFmtId="179" formatCode="0.000"/>
    <numFmt numFmtId="180" formatCode="0.0"/>
    <numFmt numFmtId="181" formatCode="&quot;$&quot;#,##0.0;[Red]&quot;$&quot;#,##0.0"/>
  </numFmts>
  <fonts count="37">
    <font>
      <sz val="12"/>
      <name val="Garamond"/>
      <family val="0"/>
    </font>
    <font>
      <b/>
      <sz val="12"/>
      <color indexed="60"/>
      <name val="Garamond"/>
      <family val="1"/>
    </font>
    <font>
      <b/>
      <sz val="12"/>
      <color indexed="12"/>
      <name val="Garamond"/>
      <family val="1"/>
    </font>
    <font>
      <b/>
      <sz val="12"/>
      <color indexed="20"/>
      <name val="CG Times (WN)"/>
      <family val="0"/>
    </font>
    <font>
      <b/>
      <sz val="12"/>
      <color indexed="16"/>
      <name val="CG Times (WN)"/>
      <family val="0"/>
    </font>
    <font>
      <b/>
      <sz val="12"/>
      <name val="Garamond"/>
      <family val="1"/>
    </font>
    <font>
      <b/>
      <i/>
      <sz val="10"/>
      <name val="Garamond"/>
      <family val="1"/>
    </font>
    <font>
      <b/>
      <sz val="12"/>
      <color indexed="61"/>
      <name val="CG Times (WN)"/>
      <family val="0"/>
    </font>
    <font>
      <b/>
      <sz val="12"/>
      <color indexed="61"/>
      <name val="Garamond"/>
      <family val="1"/>
    </font>
    <font>
      <b/>
      <sz val="12"/>
      <color indexed="9"/>
      <name val="Garamond"/>
      <family val="1"/>
    </font>
    <font>
      <sz val="10"/>
      <name val="Arial"/>
      <family val="0"/>
    </font>
    <font>
      <b/>
      <sz val="24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b/>
      <sz val="16"/>
      <color indexed="60"/>
      <name val="Garamond"/>
      <family val="1"/>
    </font>
    <font>
      <sz val="16"/>
      <name val="Garamond"/>
      <family val="1"/>
    </font>
    <font>
      <u val="single"/>
      <sz val="12"/>
      <color indexed="12"/>
      <name val="Garamond"/>
      <family val="0"/>
    </font>
    <font>
      <u val="single"/>
      <sz val="12"/>
      <color indexed="36"/>
      <name val="Garamond"/>
      <family val="0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b/>
      <i/>
      <sz val="14"/>
      <name val="Arial"/>
      <family val="2"/>
    </font>
    <font>
      <sz val="12"/>
      <color indexed="9"/>
      <name val="Garamond"/>
      <family val="1"/>
    </font>
    <font>
      <sz val="8"/>
      <name val="Tahoma"/>
      <family val="0"/>
    </font>
    <font>
      <b/>
      <sz val="8"/>
      <name val="Tahoma"/>
      <family val="0"/>
    </font>
    <font>
      <b/>
      <sz val="14"/>
      <color indexed="9"/>
      <name val="Garamond"/>
      <family val="1"/>
    </font>
    <font>
      <b/>
      <i/>
      <sz val="12"/>
      <name val="Garamond"/>
      <family val="1"/>
    </font>
    <font>
      <i/>
      <sz val="12"/>
      <name val="Garamond"/>
      <family val="1"/>
    </font>
    <font>
      <b/>
      <sz val="10"/>
      <name val="Garamond"/>
      <family val="1"/>
    </font>
    <font>
      <b/>
      <sz val="10"/>
      <color indexed="10"/>
      <name val="Garamond"/>
      <family val="1"/>
    </font>
    <font>
      <i/>
      <sz val="10"/>
      <name val="Arial"/>
      <family val="0"/>
    </font>
    <font>
      <b/>
      <i/>
      <sz val="10"/>
      <color indexed="9"/>
      <name val="Arial"/>
      <family val="2"/>
    </font>
    <font>
      <b/>
      <sz val="12"/>
      <color indexed="8"/>
      <name val="Garamond"/>
      <family val="1"/>
    </font>
    <font>
      <b/>
      <sz val="8"/>
      <name val="Garamond"/>
      <family val="2"/>
    </font>
  </fonts>
  <fills count="6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0" fillId="0" borderId="0">
      <alignment/>
      <protection/>
    </xf>
    <xf numFmtId="9" fontId="0" fillId="0" borderId="0" applyFont="0" applyFill="0" applyBorder="0" applyAlignment="0" applyProtection="0"/>
  </cellStyleXfs>
  <cellXfs count="14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1" fillId="0" borderId="1" xfId="0" applyFont="1" applyBorder="1" applyAlignment="1">
      <alignment/>
    </xf>
    <xf numFmtId="1" fontId="2" fillId="0" borderId="3" xfId="0" applyNumberFormat="1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4" fontId="3" fillId="0" borderId="0" xfId="0" applyNumberFormat="1" applyFont="1" applyFill="1" applyBorder="1" applyAlignment="1">
      <alignment horizontal="right"/>
    </xf>
    <xf numFmtId="10" fontId="2" fillId="0" borderId="5" xfId="0" applyNumberFormat="1" applyFont="1" applyBorder="1" applyAlignment="1">
      <alignment/>
    </xf>
    <xf numFmtId="0" fontId="3" fillId="0" borderId="0" xfId="0" applyFont="1" applyBorder="1" applyAlignment="1">
      <alignment/>
    </xf>
    <xf numFmtId="164" fontId="4" fillId="0" borderId="0" xfId="0" applyNumberFormat="1" applyFont="1" applyBorder="1" applyAlignment="1">
      <alignment/>
    </xf>
    <xf numFmtId="14" fontId="3" fillId="0" borderId="4" xfId="0" applyNumberFormat="1" applyFont="1" applyFill="1" applyBorder="1" applyAlignment="1">
      <alignment horizontal="left"/>
    </xf>
    <xf numFmtId="164" fontId="4" fillId="0" borderId="6" xfId="0" applyNumberFormat="1" applyFont="1" applyBorder="1" applyAlignment="1">
      <alignment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4" xfId="0" applyFont="1" applyBorder="1" applyAlignment="1">
      <alignment/>
    </xf>
    <xf numFmtId="1" fontId="0" fillId="0" borderId="0" xfId="0" applyNumberFormat="1" applyAlignment="1">
      <alignment/>
    </xf>
    <xf numFmtId="10" fontId="7" fillId="0" borderId="5" xfId="0" applyNumberFormat="1" applyFont="1" applyFill="1" applyBorder="1" applyAlignment="1">
      <alignment horizontal="right"/>
    </xf>
    <xf numFmtId="10" fontId="8" fillId="0" borderId="5" xfId="0" applyNumberFormat="1" applyFont="1" applyBorder="1" applyAlignment="1">
      <alignment/>
    </xf>
    <xf numFmtId="0" fontId="10" fillId="0" borderId="0" xfId="21">
      <alignment/>
      <protection/>
    </xf>
    <xf numFmtId="0" fontId="15" fillId="0" borderId="0" xfId="21" applyFont="1">
      <alignment/>
      <protection/>
    </xf>
    <xf numFmtId="0" fontId="10" fillId="0" borderId="7" xfId="21" applyBorder="1" applyAlignment="1">
      <alignment horizontal="right"/>
      <protection/>
    </xf>
    <xf numFmtId="0" fontId="16" fillId="2" borderId="7" xfId="21" applyFont="1" applyFill="1" applyBorder="1">
      <alignment/>
      <protection/>
    </xf>
    <xf numFmtId="0" fontId="17" fillId="0" borderId="7" xfId="21" applyFont="1" applyBorder="1" applyAlignment="1">
      <alignment horizontal="center"/>
      <protection/>
    </xf>
    <xf numFmtId="0" fontId="10" fillId="0" borderId="7" xfId="21" applyFont="1" applyBorder="1" applyAlignment="1">
      <alignment horizontal="right"/>
      <protection/>
    </xf>
    <xf numFmtId="169" fontId="10" fillId="0" borderId="7" xfId="21" applyNumberFormat="1" applyBorder="1">
      <alignment/>
      <protection/>
    </xf>
    <xf numFmtId="169" fontId="10" fillId="0" borderId="7" xfId="21" applyNumberFormat="1" applyFont="1" applyBorder="1">
      <alignment/>
      <protection/>
    </xf>
    <xf numFmtId="0" fontId="22" fillId="0" borderId="0" xfId="21" applyFont="1" applyFill="1" applyBorder="1" applyAlignment="1">
      <alignment horizontal="right"/>
      <protection/>
    </xf>
    <xf numFmtId="170" fontId="0" fillId="0" borderId="8" xfId="0" applyNumberFormat="1" applyBorder="1" applyAlignment="1">
      <alignment/>
    </xf>
    <xf numFmtId="0" fontId="14" fillId="0" borderId="0" xfId="21" applyFont="1" applyBorder="1">
      <alignment/>
      <protection/>
    </xf>
    <xf numFmtId="0" fontId="13" fillId="0" borderId="0" xfId="21" applyFont="1" applyBorder="1" applyAlignment="1">
      <alignment horizontal="left"/>
      <protection/>
    </xf>
    <xf numFmtId="0" fontId="10" fillId="0" borderId="7" xfId="21" applyFont="1" applyBorder="1" applyAlignment="1">
      <alignment horizontal="center"/>
      <protection/>
    </xf>
    <xf numFmtId="0" fontId="13" fillId="0" borderId="7" xfId="21" applyFont="1" applyBorder="1" applyAlignment="1">
      <alignment horizontal="center"/>
      <protection/>
    </xf>
    <xf numFmtId="0" fontId="17" fillId="0" borderId="7" xfId="21" applyFont="1" applyBorder="1" applyAlignment="1">
      <alignment horizontal="right"/>
      <protection/>
    </xf>
    <xf numFmtId="0" fontId="23" fillId="2" borderId="0" xfId="21" applyFont="1" applyFill="1" applyBorder="1" applyAlignment="1">
      <alignment horizontal="right"/>
      <protection/>
    </xf>
    <xf numFmtId="0" fontId="13" fillId="0" borderId="7" xfId="21" applyFont="1" applyBorder="1" applyAlignment="1">
      <alignment horizontal="left" vertical="center" wrapText="1"/>
      <protection/>
    </xf>
    <xf numFmtId="0" fontId="0" fillId="0" borderId="0" xfId="0" applyAlignment="1">
      <alignment horizontal="left" vertical="center" wrapText="1"/>
    </xf>
    <xf numFmtId="0" fontId="13" fillId="0" borderId="7" xfId="21" applyFont="1" applyBorder="1" applyAlignment="1">
      <alignment horizontal="center" vertical="center" wrapText="1"/>
      <protection/>
    </xf>
    <xf numFmtId="0" fontId="24" fillId="0" borderId="7" xfId="21" applyFont="1" applyBorder="1" applyAlignment="1">
      <alignment horizontal="right"/>
      <protection/>
    </xf>
    <xf numFmtId="170" fontId="5" fillId="0" borderId="0" xfId="0" applyNumberFormat="1" applyFont="1" applyAlignment="1">
      <alignment horizontal="center" vertical="center" wrapText="1"/>
    </xf>
    <xf numFmtId="0" fontId="5" fillId="0" borderId="0" xfId="0" applyFont="1" applyAlignment="1" applyProtection="1">
      <alignment horizontal="center" vertical="center" wrapText="1"/>
      <protection hidden="1"/>
    </xf>
    <xf numFmtId="170" fontId="5" fillId="0" borderId="0" xfId="0" applyNumberFormat="1" applyFont="1" applyAlignment="1" applyProtection="1">
      <alignment horizontal="center" vertical="center" wrapText="1"/>
      <protection hidden="1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horizontal="center" vertical="center" wrapText="1"/>
      <protection hidden="1"/>
    </xf>
    <xf numFmtId="0" fontId="5" fillId="0" borderId="0" xfId="0" applyFont="1" applyAlignment="1">
      <alignment/>
    </xf>
    <xf numFmtId="172" fontId="5" fillId="0" borderId="0" xfId="0" applyNumberFormat="1" applyFont="1" applyBorder="1" applyAlignment="1">
      <alignment/>
    </xf>
    <xf numFmtId="172" fontId="5" fillId="0" borderId="0" xfId="0" applyNumberFormat="1" applyFont="1" applyAlignment="1">
      <alignment/>
    </xf>
    <xf numFmtId="0" fontId="16" fillId="2" borderId="9" xfId="21" applyFont="1" applyFill="1" applyBorder="1">
      <alignment/>
      <protection/>
    </xf>
    <xf numFmtId="0" fontId="25" fillId="0" borderId="0" xfId="0" applyFont="1" applyBorder="1" applyAlignment="1">
      <alignment horizontal="center" vertical="center" wrapText="1"/>
    </xf>
    <xf numFmtId="6" fontId="3" fillId="0" borderId="5" xfId="0" applyNumberFormat="1" applyFont="1" applyFill="1" applyBorder="1" applyAlignment="1">
      <alignment horizontal="right"/>
    </xf>
    <xf numFmtId="6" fontId="0" fillId="0" borderId="0" xfId="0" applyNumberFormat="1" applyBorder="1" applyAlignment="1">
      <alignment/>
    </xf>
    <xf numFmtId="6" fontId="3" fillId="0" borderId="4" xfId="0" applyNumberFormat="1" applyFont="1" applyFill="1" applyBorder="1" applyAlignment="1">
      <alignment horizontal="left"/>
    </xf>
    <xf numFmtId="6" fontId="4" fillId="0" borderId="0" xfId="0" applyNumberFormat="1" applyFont="1" applyBorder="1" applyAlignment="1">
      <alignment/>
    </xf>
    <xf numFmtId="6" fontId="3" fillId="0" borderId="5" xfId="0" applyNumberFormat="1" applyFont="1" applyBorder="1" applyAlignment="1">
      <alignment/>
    </xf>
    <xf numFmtId="6" fontId="4" fillId="0" borderId="10" xfId="0" applyNumberFormat="1" applyFont="1" applyBorder="1" applyAlignment="1">
      <alignment/>
    </xf>
    <xf numFmtId="6" fontId="4" fillId="0" borderId="6" xfId="0" applyNumberFormat="1" applyFont="1" applyBorder="1" applyAlignment="1">
      <alignment/>
    </xf>
    <xf numFmtId="6" fontId="3" fillId="0" borderId="10" xfId="0" applyNumberFormat="1" applyFont="1" applyFill="1" applyBorder="1" applyAlignment="1">
      <alignment horizontal="right"/>
    </xf>
    <xf numFmtId="6" fontId="0" fillId="0" borderId="0" xfId="0" applyNumberFormat="1" applyBorder="1" applyAlignment="1" applyProtection="1">
      <alignment/>
      <protection hidden="1"/>
    </xf>
    <xf numFmtId="6" fontId="3" fillId="0" borderId="9" xfId="0" applyNumberFormat="1" applyFont="1" applyFill="1" applyBorder="1" applyAlignment="1">
      <alignment horizontal="right"/>
    </xf>
    <xf numFmtId="6" fontId="3" fillId="0" borderId="7" xfId="0" applyNumberFormat="1" applyFont="1" applyFill="1" applyBorder="1" applyAlignment="1">
      <alignment horizontal="right"/>
    </xf>
    <xf numFmtId="6" fontId="0" fillId="0" borderId="8" xfId="0" applyNumberFormat="1" applyBorder="1" applyAlignment="1">
      <alignment/>
    </xf>
    <xf numFmtId="6" fontId="3" fillId="0" borderId="11" xfId="0" applyNumberFormat="1" applyFont="1" applyFill="1" applyBorder="1" applyAlignment="1">
      <alignment horizontal="right"/>
    </xf>
    <xf numFmtId="6" fontId="0" fillId="0" borderId="0" xfId="0" applyNumberFormat="1" applyAlignment="1" applyProtection="1">
      <alignment/>
      <protection hidden="1"/>
    </xf>
    <xf numFmtId="175" fontId="13" fillId="0" borderId="7" xfId="21" applyNumberFormat="1" applyFont="1" applyBorder="1">
      <alignment/>
      <protection/>
    </xf>
    <xf numFmtId="175" fontId="5" fillId="0" borderId="7" xfId="0" applyNumberFormat="1" applyFont="1" applyBorder="1" applyAlignment="1">
      <alignment/>
    </xf>
    <xf numFmtId="0" fontId="5" fillId="0" borderId="0" xfId="0" applyFont="1" applyBorder="1" applyAlignment="1">
      <alignment horizontal="center" vertical="center" wrapText="1"/>
    </xf>
    <xf numFmtId="170" fontId="5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6" fontId="0" fillId="0" borderId="12" xfId="0" applyNumberFormat="1" applyBorder="1" applyAlignment="1">
      <alignment/>
    </xf>
    <xf numFmtId="6" fontId="0" fillId="2" borderId="0" xfId="0" applyNumberFormat="1" applyFill="1" applyBorder="1" applyAlignment="1">
      <alignment/>
    </xf>
    <xf numFmtId="6" fontId="5" fillId="0" borderId="1" xfId="0" applyNumberFormat="1" applyFont="1" applyBorder="1" applyAlignment="1">
      <alignment/>
    </xf>
    <xf numFmtId="6" fontId="5" fillId="0" borderId="13" xfId="0" applyNumberFormat="1" applyFont="1" applyBorder="1" applyAlignment="1">
      <alignment/>
    </xf>
    <xf numFmtId="6" fontId="5" fillId="0" borderId="4" xfId="0" applyNumberFormat="1" applyFont="1" applyBorder="1" applyAlignment="1">
      <alignment/>
    </xf>
    <xf numFmtId="6" fontId="5" fillId="0" borderId="11" xfId="0" applyNumberFormat="1" applyFont="1" applyBorder="1" applyAlignment="1">
      <alignment/>
    </xf>
    <xf numFmtId="6" fontId="5" fillId="0" borderId="12" xfId="0" applyNumberFormat="1" applyFont="1" applyBorder="1" applyAlignment="1">
      <alignment/>
    </xf>
    <xf numFmtId="6" fontId="5" fillId="0" borderId="0" xfId="0" applyNumberFormat="1" applyFont="1" applyBorder="1" applyAlignment="1">
      <alignment/>
    </xf>
    <xf numFmtId="0" fontId="9" fillId="3" borderId="13" xfId="0" applyFont="1" applyFill="1" applyBorder="1" applyAlignment="1" applyProtection="1">
      <alignment horizontal="left"/>
      <protection hidden="1"/>
    </xf>
    <xf numFmtId="6" fontId="5" fillId="0" borderId="9" xfId="0" applyNumberFormat="1" applyFont="1" applyBorder="1" applyAlignment="1">
      <alignment/>
    </xf>
    <xf numFmtId="0" fontId="1" fillId="0" borderId="13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7" xfId="0" applyFont="1" applyBorder="1" applyAlignment="1">
      <alignment/>
    </xf>
    <xf numFmtId="10" fontId="3" fillId="0" borderId="5" xfId="0" applyNumberFormat="1" applyFont="1" applyBorder="1" applyAlignment="1">
      <alignment/>
    </xf>
    <xf numFmtId="1" fontId="5" fillId="4" borderId="13" xfId="0" applyNumberFormat="1" applyFont="1" applyFill="1" applyBorder="1" applyAlignment="1">
      <alignment horizontal="center" vertical="center" wrapText="1"/>
    </xf>
    <xf numFmtId="1" fontId="5" fillId="4" borderId="1" xfId="0" applyNumberFormat="1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/>
    </xf>
    <xf numFmtId="6" fontId="5" fillId="0" borderId="5" xfId="0" applyNumberFormat="1" applyFont="1" applyBorder="1" applyAlignment="1">
      <alignment/>
    </xf>
    <xf numFmtId="0" fontId="6" fillId="0" borderId="13" xfId="0" applyFont="1" applyBorder="1" applyAlignment="1">
      <alignment horizontal="left" indent="1"/>
    </xf>
    <xf numFmtId="6" fontId="3" fillId="0" borderId="0" xfId="0" applyNumberFormat="1" applyFont="1" applyFill="1" applyBorder="1" applyAlignment="1">
      <alignment horizontal="right"/>
    </xf>
    <xf numFmtId="0" fontId="28" fillId="2" borderId="0" xfId="0" applyFont="1" applyFill="1" applyBorder="1" applyAlignment="1">
      <alignment/>
    </xf>
    <xf numFmtId="6" fontId="5" fillId="0" borderId="7" xfId="0" applyNumberFormat="1" applyFont="1" applyBorder="1" applyAlignment="1">
      <alignment/>
    </xf>
    <xf numFmtId="6" fontId="5" fillId="0" borderId="6" xfId="0" applyNumberFormat="1" applyFont="1" applyBorder="1" applyAlignment="1">
      <alignment/>
    </xf>
    <xf numFmtId="6" fontId="3" fillId="0" borderId="14" xfId="0" applyNumberFormat="1" applyFont="1" applyFill="1" applyBorder="1" applyAlignment="1">
      <alignment horizontal="right"/>
    </xf>
    <xf numFmtId="6" fontId="5" fillId="0" borderId="3" xfId="0" applyNumberFormat="1" applyFont="1" applyBorder="1" applyAlignment="1">
      <alignment/>
    </xf>
    <xf numFmtId="6" fontId="5" fillId="0" borderId="10" xfId="0" applyNumberFormat="1" applyFont="1" applyBorder="1" applyAlignment="1">
      <alignment/>
    </xf>
    <xf numFmtId="6" fontId="5" fillId="0" borderId="14" xfId="0" applyNumberFormat="1" applyFont="1" applyBorder="1" applyAlignment="1">
      <alignment/>
    </xf>
    <xf numFmtId="0" fontId="9" fillId="3" borderId="1" xfId="0" applyFont="1" applyFill="1" applyBorder="1" applyAlignment="1" applyProtection="1">
      <alignment horizontal="left"/>
      <protection hidden="1"/>
    </xf>
    <xf numFmtId="0" fontId="9" fillId="3" borderId="4" xfId="0" applyFont="1" applyFill="1" applyBorder="1" applyAlignment="1" applyProtection="1">
      <alignment horizontal="left"/>
      <protection hidden="1"/>
    </xf>
    <xf numFmtId="0" fontId="9" fillId="3" borderId="6" xfId="0" applyFont="1" applyFill="1" applyBorder="1" applyAlignment="1" applyProtection="1">
      <alignment horizontal="left"/>
      <protection hidden="1"/>
    </xf>
    <xf numFmtId="6" fontId="29" fillId="5" borderId="13" xfId="0" applyNumberFormat="1" applyFont="1" applyFill="1" applyBorder="1" applyAlignment="1">
      <alignment/>
    </xf>
    <xf numFmtId="6" fontId="29" fillId="0" borderId="5" xfId="0" applyNumberFormat="1" applyFont="1" applyBorder="1" applyAlignment="1">
      <alignment/>
    </xf>
    <xf numFmtId="6" fontId="29" fillId="0" borderId="9" xfId="0" applyNumberFormat="1" applyFont="1" applyBorder="1" applyAlignment="1">
      <alignment/>
    </xf>
    <xf numFmtId="6" fontId="30" fillId="0" borderId="0" xfId="0" applyNumberFormat="1" applyFont="1" applyAlignment="1" applyProtection="1">
      <alignment/>
      <protection hidden="1"/>
    </xf>
    <xf numFmtId="0" fontId="30" fillId="0" borderId="0" xfId="0" applyFont="1" applyAlignment="1" applyProtection="1">
      <alignment/>
      <protection hidden="1"/>
    </xf>
    <xf numFmtId="6" fontId="29" fillId="5" borderId="9" xfId="0" applyNumberFormat="1" applyFont="1" applyFill="1" applyBorder="1" applyAlignment="1">
      <alignment/>
    </xf>
    <xf numFmtId="6" fontId="29" fillId="5" borderId="11" xfId="0" applyNumberFormat="1" applyFont="1" applyFill="1" applyBorder="1" applyAlignment="1">
      <alignment/>
    </xf>
    <xf numFmtId="0" fontId="29" fillId="0" borderId="0" xfId="0" applyFont="1" applyAlignment="1" applyProtection="1">
      <alignment horizontal="center" vertical="center" wrapText="1"/>
      <protection hidden="1"/>
    </xf>
    <xf numFmtId="170" fontId="29" fillId="0" borderId="0" xfId="0" applyNumberFormat="1" applyFont="1" applyAlignment="1" applyProtection="1">
      <alignment horizontal="center" vertical="center" wrapText="1"/>
      <protection hidden="1"/>
    </xf>
    <xf numFmtId="0" fontId="0" fillId="0" borderId="0" xfId="0" applyFont="1" applyAlignment="1">
      <alignment/>
    </xf>
    <xf numFmtId="6" fontId="30" fillId="0" borderId="2" xfId="0" applyNumberFormat="1" applyFont="1" applyBorder="1" applyAlignment="1">
      <alignment/>
    </xf>
    <xf numFmtId="6" fontId="30" fillId="0" borderId="1" xfId="0" applyNumberFormat="1" applyFont="1" applyBorder="1" applyAlignment="1">
      <alignment/>
    </xf>
    <xf numFmtId="0" fontId="30" fillId="0" borderId="0" xfId="0" applyFont="1" applyBorder="1" applyAlignment="1">
      <alignment/>
    </xf>
    <xf numFmtId="0" fontId="3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4" xfId="0" applyFont="1" applyBorder="1" applyAlignment="1">
      <alignment horizontal="center" vertical="center" wrapText="1"/>
    </xf>
    <xf numFmtId="0" fontId="0" fillId="0" borderId="4" xfId="0" applyFont="1" applyBorder="1" applyAlignment="1" applyProtection="1">
      <alignment horizontal="center" vertical="center" wrapText="1"/>
      <protection hidden="1"/>
    </xf>
    <xf numFmtId="0" fontId="31" fillId="0" borderId="9" xfId="0" applyFont="1" applyBorder="1" applyAlignment="1">
      <alignment horizontal="left" indent="1"/>
    </xf>
    <xf numFmtId="0" fontId="32" fillId="0" borderId="11" xfId="0" applyFont="1" applyBorder="1" applyAlignment="1">
      <alignment horizontal="left" indent="1"/>
    </xf>
    <xf numFmtId="0" fontId="31" fillId="0" borderId="1" xfId="0" applyFont="1" applyBorder="1" applyAlignment="1">
      <alignment horizontal="left" indent="1"/>
    </xf>
    <xf numFmtId="0" fontId="31" fillId="0" borderId="4" xfId="0" applyFont="1" applyBorder="1" applyAlignment="1">
      <alignment horizontal="left" indent="1"/>
    </xf>
    <xf numFmtId="0" fontId="32" fillId="0" borderId="4" xfId="0" applyFont="1" applyBorder="1" applyAlignment="1">
      <alignment horizontal="left" indent="1"/>
    </xf>
    <xf numFmtId="0" fontId="31" fillId="0" borderId="6" xfId="0" applyFont="1" applyBorder="1" applyAlignment="1">
      <alignment horizontal="left" indent="1"/>
    </xf>
    <xf numFmtId="0" fontId="0" fillId="0" borderId="4" xfId="0" applyFont="1" applyBorder="1" applyAlignment="1">
      <alignment/>
    </xf>
    <xf numFmtId="0" fontId="0" fillId="0" borderId="6" xfId="0" applyFont="1" applyBorder="1" applyAlignment="1">
      <alignment/>
    </xf>
    <xf numFmtId="0" fontId="33" fillId="0" borderId="7" xfId="21" applyFont="1" applyBorder="1" applyAlignment="1">
      <alignment horizontal="right"/>
      <protection/>
    </xf>
    <xf numFmtId="0" fontId="33" fillId="5" borderId="7" xfId="21" applyFont="1" applyFill="1" applyBorder="1" applyAlignment="1">
      <alignment horizontal="center"/>
      <protection/>
    </xf>
    <xf numFmtId="169" fontId="33" fillId="5" borderId="7" xfId="21" applyNumberFormat="1" applyFont="1" applyFill="1" applyBorder="1">
      <alignment/>
      <protection/>
    </xf>
    <xf numFmtId="0" fontId="30" fillId="0" borderId="0" xfId="0" applyFont="1" applyAlignment="1">
      <alignment/>
    </xf>
    <xf numFmtId="169" fontId="33" fillId="5" borderId="7" xfId="21" applyNumberFormat="1" applyFont="1" applyFill="1" applyBorder="1" applyAlignment="1">
      <alignment horizontal="center"/>
      <protection/>
    </xf>
    <xf numFmtId="0" fontId="34" fillId="2" borderId="0" xfId="21" applyFont="1" applyFill="1" applyBorder="1" applyAlignment="1">
      <alignment horizontal="right"/>
      <protection/>
    </xf>
    <xf numFmtId="0" fontId="30" fillId="5" borderId="0" xfId="0" applyFont="1" applyFill="1" applyAlignment="1">
      <alignment/>
    </xf>
    <xf numFmtId="175" fontId="17" fillId="5" borderId="7" xfId="21" applyNumberFormat="1" applyFont="1" applyFill="1" applyBorder="1">
      <alignment/>
      <protection/>
    </xf>
    <xf numFmtId="175" fontId="0" fillId="0" borderId="0" xfId="0" applyNumberFormat="1" applyBorder="1" applyAlignment="1">
      <alignment/>
    </xf>
    <xf numFmtId="175" fontId="0" fillId="0" borderId="0" xfId="0" applyNumberFormat="1" applyAlignment="1">
      <alignment/>
    </xf>
    <xf numFmtId="172" fontId="0" fillId="0" borderId="0" xfId="0" applyNumberFormat="1" applyAlignment="1">
      <alignment/>
    </xf>
    <xf numFmtId="0" fontId="0" fillId="0" borderId="0" xfId="0" applyAlignment="1">
      <alignment horizontal="right"/>
    </xf>
    <xf numFmtId="1" fontId="35" fillId="0" borderId="7" xfId="0" applyNumberFormat="1" applyFont="1" applyBorder="1" applyAlignment="1">
      <alignment horizontal="right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8" fillId="4" borderId="12" xfId="0" applyFont="1" applyFill="1" applyBorder="1" applyAlignment="1">
      <alignment horizontal="center" vertical="center"/>
    </xf>
    <xf numFmtId="0" fontId="18" fillId="4" borderId="14" xfId="0" applyFont="1" applyFill="1" applyBorder="1" applyAlignment="1">
      <alignment horizontal="center" vertical="center"/>
    </xf>
    <xf numFmtId="0" fontId="18" fillId="4" borderId="12" xfId="0" applyFont="1" applyFill="1" applyBorder="1" applyAlignment="1">
      <alignment horizontal="center" vertical="center" wrapText="1"/>
    </xf>
    <xf numFmtId="0" fontId="18" fillId="4" borderId="14" xfId="0" applyFont="1" applyFill="1" applyBorder="1" applyAlignment="1">
      <alignment horizontal="center" vertical="center" wrapText="1"/>
    </xf>
    <xf numFmtId="0" fontId="11" fillId="0" borderId="0" xfId="21" applyFont="1" applyAlignment="1">
      <alignment horizontal="center"/>
      <protection/>
    </xf>
    <xf numFmtId="0" fontId="12" fillId="0" borderId="0" xfId="21" applyFont="1" applyAlignment="1">
      <alignment horizont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2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Excel\Life%20Cycle%20Cos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fe Cycle Cost Sheet"/>
      <sheetName val="Cell Calculation"/>
      <sheetName val="Life Cycle Cost Portrait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Sheet19"/>
      <sheetName val="Sheet20"/>
    </sheetNames>
    <sheetDataSet>
      <sheetData sheetId="1">
        <row r="2">
          <cell r="B2">
            <v>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68"/>
  <sheetViews>
    <sheetView zoomScale="75" zoomScaleNormal="75" workbookViewId="0" topLeftCell="A1">
      <selection activeCell="D15" sqref="D15"/>
    </sheetView>
  </sheetViews>
  <sheetFormatPr defaultColWidth="9.00390625" defaultRowHeight="15.75"/>
  <cols>
    <col min="1" max="1" width="28.00390625" style="110" customWidth="1"/>
    <col min="2" max="2" width="14.00390625" style="0" customWidth="1"/>
    <col min="3" max="3" width="13.375" style="0" customWidth="1"/>
    <col min="4" max="4" width="13.125" style="0" customWidth="1"/>
    <col min="5" max="5" width="13.50390625" style="0" bestFit="1" customWidth="1"/>
    <col min="6" max="7" width="12.75390625" style="0" customWidth="1"/>
    <col min="8" max="8" width="14.25390625" style="0" customWidth="1"/>
    <col min="9" max="9" width="13.25390625" style="0" customWidth="1"/>
    <col min="10" max="10" width="12.875" style="0" customWidth="1"/>
    <col min="11" max="11" width="14.25390625" style="0" customWidth="1"/>
    <col min="12" max="12" width="12.625" style="0" bestFit="1" customWidth="1"/>
    <col min="13" max="13" width="11.75390625" style="0" customWidth="1"/>
    <col min="14" max="15" width="12.625" style="0" bestFit="1" customWidth="1"/>
    <col min="16" max="16" width="11.75390625" style="0" customWidth="1"/>
    <col min="17" max="18" width="12.625" style="0" bestFit="1" customWidth="1"/>
    <col min="19" max="19" width="11.75390625" style="0" customWidth="1"/>
    <col min="20" max="21" width="12.625" style="0" bestFit="1" customWidth="1"/>
    <col min="22" max="22" width="12.75390625" style="0" bestFit="1" customWidth="1"/>
    <col min="23" max="23" width="15.50390625" style="0" hidden="1" customWidth="1"/>
    <col min="24" max="24" width="9.625" style="0" hidden="1" customWidth="1"/>
    <col min="25" max="25" width="11.75390625" style="0" hidden="1" customWidth="1"/>
    <col min="26" max="28" width="0" style="0" hidden="1" customWidth="1"/>
    <col min="29" max="29" width="10.625" style="0" bestFit="1" customWidth="1"/>
    <col min="31" max="31" width="13.25390625" style="0" bestFit="1" customWidth="1"/>
  </cols>
  <sheetData>
    <row r="1" spans="1:22" ht="15.75">
      <c r="A1" s="115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s="140" customFormat="1" ht="38.25" customHeight="1">
      <c r="A2" s="141" t="s">
        <v>0</v>
      </c>
      <c r="B2" s="142"/>
      <c r="C2" s="139"/>
      <c r="D2" s="143" t="s">
        <v>122</v>
      </c>
      <c r="E2" s="144"/>
      <c r="F2" s="139"/>
      <c r="G2" s="141" t="s">
        <v>1</v>
      </c>
      <c r="H2" s="142"/>
      <c r="I2" s="139"/>
      <c r="J2" s="141" t="s">
        <v>2</v>
      </c>
      <c r="K2" s="142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</row>
    <row r="3" spans="1:22" ht="15.75">
      <c r="A3" s="80" t="s">
        <v>3</v>
      </c>
      <c r="B3" s="6">
        <f>'Calculations Sheet'!B1</f>
        <v>2005</v>
      </c>
      <c r="C3" s="4"/>
      <c r="D3" s="1"/>
      <c r="E3" s="3"/>
      <c r="F3" s="4"/>
      <c r="G3" s="1"/>
      <c r="H3" s="3"/>
      <c r="I3" s="4"/>
      <c r="J3" s="1"/>
      <c r="K3" s="3"/>
      <c r="L3" s="4"/>
      <c r="M3" s="4"/>
      <c r="N3" s="4"/>
      <c r="O3" s="4"/>
      <c r="P3" s="4"/>
      <c r="Q3" s="4"/>
      <c r="R3" s="4"/>
      <c r="S3" s="4"/>
      <c r="T3" s="4"/>
      <c r="U3" s="4"/>
      <c r="V3" s="4"/>
    </row>
    <row r="4" spans="1:22" ht="15.75">
      <c r="A4" s="81" t="s">
        <v>4</v>
      </c>
      <c r="B4" s="8">
        <f>'[1]Cell Calculation'!B2</f>
        <v>20</v>
      </c>
      <c r="C4" s="9"/>
      <c r="D4" s="7" t="str">
        <f>A6</f>
        <v>Discount Rate</v>
      </c>
      <c r="E4" s="20">
        <f>B6</f>
        <v>0.119</v>
      </c>
      <c r="F4" s="4"/>
      <c r="G4" s="7" t="s">
        <v>5</v>
      </c>
      <c r="H4" s="19">
        <f>B7</f>
        <v>0.09</v>
      </c>
      <c r="I4" s="9"/>
      <c r="J4" s="7" t="s">
        <v>5</v>
      </c>
      <c r="K4" s="19">
        <f>B8</f>
        <v>0.15</v>
      </c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2" ht="15.75">
      <c r="A5" s="81" t="s">
        <v>6</v>
      </c>
      <c r="B5" s="10">
        <f>'Calculations Sheet'!B3/1000</f>
        <v>0.031</v>
      </c>
      <c r="C5" s="11"/>
      <c r="D5" s="7" t="s">
        <v>6</v>
      </c>
      <c r="E5" s="84">
        <f>B5</f>
        <v>0.031</v>
      </c>
      <c r="F5" s="4"/>
      <c r="G5" s="7" t="s">
        <v>6</v>
      </c>
      <c r="H5" s="84">
        <f>B5</f>
        <v>0.031</v>
      </c>
      <c r="I5" s="11"/>
      <c r="J5" s="7" t="s">
        <v>6</v>
      </c>
      <c r="K5" s="84">
        <f>B5</f>
        <v>0.031</v>
      </c>
      <c r="L5" s="4"/>
      <c r="M5" s="4"/>
      <c r="N5" s="4"/>
      <c r="O5" s="4"/>
      <c r="P5" s="4"/>
      <c r="Q5" s="4"/>
      <c r="R5" s="4"/>
      <c r="S5" s="4"/>
      <c r="T5" s="4"/>
      <c r="U5" s="4"/>
      <c r="V5" s="4"/>
    </row>
    <row r="6" spans="1:22" ht="15.75">
      <c r="A6" s="81" t="s">
        <v>7</v>
      </c>
      <c r="B6" s="10">
        <f>'Calculations Sheet'!B4/1000</f>
        <v>0.119</v>
      </c>
      <c r="C6" s="12"/>
      <c r="D6" s="13" t="s">
        <v>8</v>
      </c>
      <c r="E6" s="51">
        <f>NPV(B6,B19:V19)</f>
        <v>-930203.8966246862</v>
      </c>
      <c r="F6" s="52"/>
      <c r="G6" s="53" t="s">
        <v>8</v>
      </c>
      <c r="H6" s="51">
        <f>NPV(B7,B19:V19)</f>
        <v>-1214510.5597508147</v>
      </c>
      <c r="I6" s="54"/>
      <c r="J6" s="53" t="s">
        <v>8</v>
      </c>
      <c r="K6" s="51">
        <f>NPV(B8,B19:V19)</f>
        <v>-718930.2999888592</v>
      </c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</row>
    <row r="7" spans="1:22" ht="15.75">
      <c r="A7" s="81" t="s">
        <v>9</v>
      </c>
      <c r="B7" s="10">
        <f>'Calculations Sheet'!B5/1000</f>
        <v>0.09</v>
      </c>
      <c r="C7" s="12"/>
      <c r="D7" s="13" t="s">
        <v>10</v>
      </c>
      <c r="E7" s="51">
        <f>NPV(B6,B20:V20)</f>
        <v>-866830.9112103662</v>
      </c>
      <c r="F7" s="52"/>
      <c r="G7" s="53" t="s">
        <v>10</v>
      </c>
      <c r="H7" s="55">
        <f>NPV(B7,B20:V20)</f>
        <v>-1140869.55565335</v>
      </c>
      <c r="I7" s="54"/>
      <c r="J7" s="53" t="s">
        <v>10</v>
      </c>
      <c r="K7" s="55">
        <f>NPV(B8,B20:V20)</f>
        <v>-666579.9035139497</v>
      </c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</row>
    <row r="8" spans="1:22" ht="15.75">
      <c r="A8" s="82" t="s">
        <v>11</v>
      </c>
      <c r="B8" s="10">
        <f>'Calculations Sheet'!B6/1000</f>
        <v>0.15</v>
      </c>
      <c r="C8" s="12"/>
      <c r="D8" s="13" t="s">
        <v>12</v>
      </c>
      <c r="E8" s="51">
        <f>NPV(B6,B21:V21)</f>
        <v>-991172.019954886</v>
      </c>
      <c r="F8" s="52"/>
      <c r="G8" s="53" t="s">
        <v>12</v>
      </c>
      <c r="H8" s="55">
        <f>NPV(B7,B21:V21)</f>
        <v>-1298136.7920914327</v>
      </c>
      <c r="I8" s="54"/>
      <c r="J8" s="53" t="s">
        <v>12</v>
      </c>
      <c r="K8" s="55">
        <f>NPV(B8,B21:V21)</f>
        <v>-764981.2728800996</v>
      </c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</row>
    <row r="9" spans="1:22" ht="15.75">
      <c r="A9" s="83" t="s">
        <v>121</v>
      </c>
      <c r="B9" s="138"/>
      <c r="C9" s="12"/>
      <c r="D9" s="14" t="s">
        <v>37</v>
      </c>
      <c r="E9" s="56"/>
      <c r="F9" s="52"/>
      <c r="G9" s="57"/>
      <c r="H9" s="56"/>
      <c r="I9" s="54"/>
      <c r="J9" s="57"/>
      <c r="K9" s="56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</row>
    <row r="10" spans="1:26" s="15" customFormat="1" ht="15.75">
      <c r="A10" s="116"/>
      <c r="B10" s="50">
        <v>1</v>
      </c>
      <c r="C10" s="4"/>
      <c r="D10" s="4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/>
      <c r="X10"/>
      <c r="Y10"/>
      <c r="Z10"/>
    </row>
    <row r="11" spans="1:34" ht="18.75">
      <c r="A11" s="91" t="s">
        <v>118</v>
      </c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4"/>
      <c r="X11" s="67"/>
      <c r="Y11" s="68"/>
      <c r="Z11" s="4"/>
      <c r="AA11" s="4"/>
      <c r="AB11" s="4"/>
      <c r="AC11" s="4"/>
      <c r="AD11" s="4"/>
      <c r="AE11" s="4"/>
      <c r="AF11" s="4"/>
      <c r="AG11" s="4"/>
      <c r="AH11" s="4"/>
    </row>
    <row r="12" spans="1:26" s="15" customFormat="1" ht="15.75">
      <c r="A12" s="116"/>
      <c r="B12" s="50"/>
      <c r="C12" s="4"/>
      <c r="D12" s="4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/>
      <c r="X12"/>
      <c r="Y12"/>
      <c r="Z12"/>
    </row>
    <row r="13" spans="1:27" s="16" customFormat="1" ht="15.75">
      <c r="A13" s="87" t="s">
        <v>3</v>
      </c>
      <c r="B13" s="85">
        <v>0</v>
      </c>
      <c r="C13" s="85">
        <v>1</v>
      </c>
      <c r="D13" s="85">
        <v>2</v>
      </c>
      <c r="E13" s="85">
        <v>3</v>
      </c>
      <c r="F13" s="85">
        <v>4</v>
      </c>
      <c r="G13" s="85">
        <v>5</v>
      </c>
      <c r="H13" s="85">
        <v>6</v>
      </c>
      <c r="I13" s="86">
        <v>7</v>
      </c>
      <c r="J13" s="85">
        <v>8</v>
      </c>
      <c r="K13" s="85">
        <v>9</v>
      </c>
      <c r="L13" s="85">
        <v>10</v>
      </c>
      <c r="M13" s="85">
        <v>11</v>
      </c>
      <c r="N13" s="86">
        <v>12</v>
      </c>
      <c r="O13" s="85">
        <v>13</v>
      </c>
      <c r="P13" s="85">
        <v>14</v>
      </c>
      <c r="Q13" s="85">
        <v>15</v>
      </c>
      <c r="R13" s="85">
        <v>16</v>
      </c>
      <c r="S13" s="85">
        <v>17</v>
      </c>
      <c r="T13" s="85">
        <v>18</v>
      </c>
      <c r="U13" s="85">
        <v>19</v>
      </c>
      <c r="V13" s="85">
        <v>20</v>
      </c>
      <c r="X13" s="16" t="s">
        <v>13</v>
      </c>
      <c r="Y13" s="41">
        <v>-33000</v>
      </c>
      <c r="Z13" s="16">
        <v>1</v>
      </c>
      <c r="AA13" s="16">
        <f>Y13*Z13</f>
        <v>-33000</v>
      </c>
    </row>
    <row r="14" spans="1:29" s="105" customFormat="1" ht="15.75">
      <c r="A14" s="98" t="s">
        <v>114</v>
      </c>
      <c r="B14" s="101">
        <f>B26</f>
        <v>0</v>
      </c>
      <c r="C14" s="101">
        <f>(C26)*(($B$5+1)^(C13))</f>
        <v>-51034.49999999999</v>
      </c>
      <c r="D14" s="101">
        <f aca="true" t="shared" si="0" ref="D14:V14">(D26)*(($B$5+1)^(D13))</f>
        <v>-2109977.5849999995</v>
      </c>
      <c r="E14" s="101">
        <f t="shared" si="0"/>
        <v>0</v>
      </c>
      <c r="F14" s="101">
        <f t="shared" si="0"/>
        <v>0</v>
      </c>
      <c r="G14" s="101">
        <f t="shared" si="0"/>
        <v>0</v>
      </c>
      <c r="H14" s="101">
        <f t="shared" si="0"/>
        <v>0</v>
      </c>
      <c r="I14" s="101">
        <f t="shared" si="0"/>
        <v>0</v>
      </c>
      <c r="J14" s="101">
        <f t="shared" si="0"/>
        <v>0</v>
      </c>
      <c r="K14" s="101">
        <f t="shared" si="0"/>
        <v>-16288.2038195352</v>
      </c>
      <c r="L14" s="101">
        <f t="shared" si="0"/>
        <v>-673421.8020972216</v>
      </c>
      <c r="M14" s="101">
        <f t="shared" si="0"/>
        <v>0</v>
      </c>
      <c r="N14" s="101">
        <f t="shared" si="0"/>
        <v>0</v>
      </c>
      <c r="O14" s="101">
        <f t="shared" si="0"/>
        <v>0</v>
      </c>
      <c r="P14" s="101">
        <f t="shared" si="0"/>
        <v>0</v>
      </c>
      <c r="Q14" s="101">
        <f t="shared" si="0"/>
        <v>0</v>
      </c>
      <c r="R14" s="101">
        <f t="shared" si="0"/>
        <v>0</v>
      </c>
      <c r="S14" s="101">
        <f t="shared" si="0"/>
        <v>0</v>
      </c>
      <c r="T14" s="101">
        <f t="shared" si="0"/>
        <v>0</v>
      </c>
      <c r="U14" s="101">
        <f t="shared" si="0"/>
        <v>0</v>
      </c>
      <c r="V14" s="101">
        <f t="shared" si="0"/>
        <v>0</v>
      </c>
      <c r="W14" s="102">
        <f aca="true" t="shared" si="1" ref="W14:AB14">(W32)*(($B$5+1)^(W13))</f>
        <v>0</v>
      </c>
      <c r="X14" s="103" t="e">
        <f t="shared" si="1"/>
        <v>#VALUE!</v>
      </c>
      <c r="Y14" s="103">
        <f t="shared" si="1"/>
        <v>0</v>
      </c>
      <c r="Z14" s="103">
        <f t="shared" si="1"/>
        <v>0</v>
      </c>
      <c r="AA14" s="103">
        <f t="shared" si="1"/>
        <v>0</v>
      </c>
      <c r="AB14" s="103">
        <f t="shared" si="1"/>
        <v>0</v>
      </c>
      <c r="AC14" s="104" t="s">
        <v>37</v>
      </c>
    </row>
    <row r="15" spans="1:28" s="105" customFormat="1" ht="15.75">
      <c r="A15" s="99" t="s">
        <v>115</v>
      </c>
      <c r="B15" s="106">
        <f>B31</f>
        <v>0</v>
      </c>
      <c r="C15" s="106">
        <f>(C31)*(($B$5+1)^(C13))</f>
        <v>-56137.95</v>
      </c>
      <c r="D15" s="106">
        <f aca="true" t="shared" si="2" ref="D15:V15">(D31)*(($B$5+1)^(D13))</f>
        <v>-2320443.8629999994</v>
      </c>
      <c r="E15" s="106">
        <f t="shared" si="2"/>
        <v>0</v>
      </c>
      <c r="F15" s="106">
        <f t="shared" si="2"/>
        <v>0</v>
      </c>
      <c r="G15" s="106">
        <f t="shared" si="2"/>
        <v>0</v>
      </c>
      <c r="H15" s="106">
        <f t="shared" si="2"/>
        <v>0</v>
      </c>
      <c r="I15" s="106">
        <f t="shared" si="2"/>
        <v>0</v>
      </c>
      <c r="J15" s="106">
        <f t="shared" si="2"/>
        <v>0</v>
      </c>
      <c r="K15" s="106">
        <f t="shared" si="2"/>
        <v>0</v>
      </c>
      <c r="L15" s="106">
        <f t="shared" si="2"/>
        <v>0</v>
      </c>
      <c r="M15" s="106">
        <f t="shared" si="2"/>
        <v>0</v>
      </c>
      <c r="N15" s="106">
        <f t="shared" si="2"/>
        <v>0</v>
      </c>
      <c r="O15" s="106">
        <f t="shared" si="2"/>
        <v>0</v>
      </c>
      <c r="P15" s="106">
        <f t="shared" si="2"/>
        <v>-20871.766462665368</v>
      </c>
      <c r="Q15" s="106">
        <f t="shared" si="2"/>
        <v>-862727.66280673</v>
      </c>
      <c r="R15" s="106">
        <f t="shared" si="2"/>
        <v>0</v>
      </c>
      <c r="S15" s="106">
        <f t="shared" si="2"/>
        <v>0</v>
      </c>
      <c r="T15" s="106">
        <f t="shared" si="2"/>
        <v>0</v>
      </c>
      <c r="U15" s="106">
        <f t="shared" si="2"/>
        <v>0</v>
      </c>
      <c r="V15" s="106">
        <f t="shared" si="2"/>
        <v>0</v>
      </c>
      <c r="W15" s="102">
        <f aca="true" t="shared" si="3" ref="W15:AB15">W31</f>
        <v>0</v>
      </c>
      <c r="X15" s="103">
        <f t="shared" si="3"/>
        <v>0</v>
      </c>
      <c r="Y15" s="103">
        <f t="shared" si="3"/>
        <v>0</v>
      </c>
      <c r="Z15" s="103">
        <f t="shared" si="3"/>
        <v>0</v>
      </c>
      <c r="AA15" s="103">
        <f t="shared" si="3"/>
        <v>0</v>
      </c>
      <c r="AB15" s="103">
        <f t="shared" si="3"/>
        <v>0</v>
      </c>
    </row>
    <row r="16" spans="1:27" s="105" customFormat="1" ht="15.75">
      <c r="A16" s="100" t="s">
        <v>116</v>
      </c>
      <c r="B16" s="107">
        <f>B36</f>
        <v>0</v>
      </c>
      <c r="C16" s="107">
        <f>(C36)*(($B$5+1)^(C13))</f>
        <v>-45931.049999999996</v>
      </c>
      <c r="D16" s="107">
        <f aca="true" t="shared" si="4" ref="D16:V16">(D36)*(($B$5+1)^(D13))</f>
        <v>-1898979.8264999997</v>
      </c>
      <c r="E16" s="107">
        <f t="shared" si="4"/>
        <v>0</v>
      </c>
      <c r="F16" s="107">
        <f t="shared" si="4"/>
        <v>0</v>
      </c>
      <c r="G16" s="107">
        <f t="shared" si="4"/>
        <v>0</v>
      </c>
      <c r="H16" s="107">
        <f t="shared" si="4"/>
        <v>-13376.414216504645</v>
      </c>
      <c r="I16" s="107">
        <f t="shared" si="4"/>
        <v>-553036.3609812997</v>
      </c>
      <c r="J16" s="107">
        <f t="shared" si="4"/>
        <v>0</v>
      </c>
      <c r="K16" s="107">
        <f t="shared" si="4"/>
        <v>0</v>
      </c>
      <c r="L16" s="107">
        <f t="shared" si="4"/>
        <v>0</v>
      </c>
      <c r="M16" s="107">
        <f t="shared" si="4"/>
        <v>0</v>
      </c>
      <c r="N16" s="107">
        <f t="shared" si="4"/>
        <v>0</v>
      </c>
      <c r="O16" s="107">
        <f t="shared" si="4"/>
        <v>0</v>
      </c>
      <c r="P16" s="107">
        <f t="shared" si="4"/>
        <v>0</v>
      </c>
      <c r="Q16" s="107">
        <f t="shared" si="4"/>
        <v>0</v>
      </c>
      <c r="R16" s="107">
        <f t="shared" si="4"/>
        <v>-18152.078523481017</v>
      </c>
      <c r="S16" s="107">
        <f t="shared" si="4"/>
        <v>-750482.1014353985</v>
      </c>
      <c r="T16" s="107">
        <f t="shared" si="4"/>
        <v>0</v>
      </c>
      <c r="U16" s="107">
        <f t="shared" si="4"/>
        <v>0</v>
      </c>
      <c r="V16" s="107">
        <f t="shared" si="4"/>
        <v>0</v>
      </c>
      <c r="X16" s="108" t="s">
        <v>90</v>
      </c>
      <c r="Y16" s="109">
        <f>E$19</f>
        <v>-149378.39297725496</v>
      </c>
      <c r="Z16" s="105">
        <v>0.7118</v>
      </c>
      <c r="AA16" s="105">
        <f>Y16*Z16</f>
        <v>-106327.54012121008</v>
      </c>
    </row>
    <row r="17" spans="1:27" s="45" customFormat="1" ht="15.75">
      <c r="A17" s="117"/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X17" s="42" t="s">
        <v>91</v>
      </c>
      <c r="Y17" s="43">
        <f>F$19</f>
        <v>-97938.52606632025</v>
      </c>
      <c r="Z17" s="44">
        <v>0.6355</v>
      </c>
      <c r="AA17" s="44">
        <f>Y17*Z17</f>
        <v>-62239.93331514651</v>
      </c>
    </row>
    <row r="18" spans="1:27" s="16" customFormat="1" ht="15.75">
      <c r="A18" s="87" t="s">
        <v>3</v>
      </c>
      <c r="B18" s="85">
        <v>0</v>
      </c>
      <c r="C18" s="85">
        <v>1</v>
      </c>
      <c r="D18" s="85">
        <v>2</v>
      </c>
      <c r="E18" s="85">
        <v>3</v>
      </c>
      <c r="F18" s="85">
        <v>4</v>
      </c>
      <c r="G18" s="85">
        <v>5</v>
      </c>
      <c r="H18" s="85">
        <v>6</v>
      </c>
      <c r="I18" s="86">
        <v>7</v>
      </c>
      <c r="J18" s="85">
        <v>8</v>
      </c>
      <c r="K18" s="85">
        <v>9</v>
      </c>
      <c r="L18" s="85">
        <v>10</v>
      </c>
      <c r="M18" s="85">
        <v>11</v>
      </c>
      <c r="N18" s="86">
        <v>12</v>
      </c>
      <c r="O18" s="85">
        <v>13</v>
      </c>
      <c r="P18" s="85">
        <v>14</v>
      </c>
      <c r="Q18" s="85">
        <v>15</v>
      </c>
      <c r="R18" s="85">
        <v>16</v>
      </c>
      <c r="S18" s="85">
        <v>17</v>
      </c>
      <c r="T18" s="85">
        <v>18</v>
      </c>
      <c r="U18" s="85">
        <v>19</v>
      </c>
      <c r="V18" s="85">
        <v>20</v>
      </c>
      <c r="X18" s="16" t="s">
        <v>13</v>
      </c>
      <c r="Y18" s="41">
        <v>-33000</v>
      </c>
      <c r="Z18" s="16">
        <v>1</v>
      </c>
      <c r="AA18" s="16">
        <f>Y18*Z18</f>
        <v>-33000</v>
      </c>
    </row>
    <row r="19" spans="1:29" s="44" customFormat="1" ht="15.75">
      <c r="A19" s="98" t="s">
        <v>111</v>
      </c>
      <c r="B19" s="73">
        <f>B27+B28</f>
        <v>-17700</v>
      </c>
      <c r="C19" s="73">
        <f>(C27+C28)*(($B$5+1)^(C13))</f>
        <v>-93305.49999999999</v>
      </c>
      <c r="D19" s="73">
        <f aca="true" t="shared" si="5" ref="D19:V19">(D27+D28)*(($B$5+1)^(D13))</f>
        <v>0</v>
      </c>
      <c r="E19" s="73">
        <f t="shared" si="5"/>
        <v>-149378.39297725496</v>
      </c>
      <c r="F19" s="73">
        <f t="shared" si="5"/>
        <v>-97938.52606632025</v>
      </c>
      <c r="G19" s="73">
        <f t="shared" si="5"/>
        <v>-100974.62037437619</v>
      </c>
      <c r="H19" s="73">
        <f t="shared" si="5"/>
        <v>-104104.83360598184</v>
      </c>
      <c r="I19" s="73">
        <f t="shared" si="5"/>
        <v>-163053.63115369165</v>
      </c>
      <c r="J19" s="73">
        <f t="shared" si="5"/>
        <v>-116308.52141032084</v>
      </c>
      <c r="K19" s="73">
        <f t="shared" si="5"/>
        <v>-143869.2621005491</v>
      </c>
      <c r="L19" s="73">
        <f t="shared" si="5"/>
        <v>-422294.8395952436</v>
      </c>
      <c r="M19" s="73">
        <f t="shared" si="5"/>
        <v>-155568.19505353324</v>
      </c>
      <c r="N19" s="73">
        <f t="shared" si="5"/>
        <v>-225301.53967562434</v>
      </c>
      <c r="O19" s="73">
        <f t="shared" si="5"/>
        <v>-165362.92418229874</v>
      </c>
      <c r="P19" s="73">
        <f t="shared" si="5"/>
        <v>-170489.17483195</v>
      </c>
      <c r="Q19" s="73">
        <f t="shared" si="5"/>
        <v>-175774.33925174043</v>
      </c>
      <c r="R19" s="73">
        <f t="shared" si="5"/>
        <v>-181223.34376854438</v>
      </c>
      <c r="S19" s="73">
        <f t="shared" si="5"/>
        <v>-262456.5925070215</v>
      </c>
      <c r="T19" s="73">
        <f t="shared" si="5"/>
        <v>-192633.34671555567</v>
      </c>
      <c r="U19" s="73">
        <f t="shared" si="5"/>
        <v>-198604.98046373785</v>
      </c>
      <c r="V19" s="73">
        <f t="shared" si="5"/>
        <v>-204761.73485811375</v>
      </c>
      <c r="W19" s="88">
        <f aca="true" t="shared" si="6" ref="W19:AB19">(W27)*(($B$5+1)^(W18))</f>
        <v>0</v>
      </c>
      <c r="X19" s="79" t="e">
        <f t="shared" si="6"/>
        <v>#VALUE!</v>
      </c>
      <c r="Y19" s="79">
        <f t="shared" si="6"/>
        <v>0</v>
      </c>
      <c r="Z19" s="79">
        <f t="shared" si="6"/>
        <v>0</v>
      </c>
      <c r="AA19" s="79">
        <f t="shared" si="6"/>
        <v>0</v>
      </c>
      <c r="AB19" s="79">
        <f t="shared" si="6"/>
        <v>0</v>
      </c>
      <c r="AC19" s="64" t="s">
        <v>37</v>
      </c>
    </row>
    <row r="20" spans="1:29" s="44" customFormat="1" ht="15.75">
      <c r="A20" s="99" t="s">
        <v>112</v>
      </c>
      <c r="B20" s="79">
        <f>B32+B33</f>
        <v>-17700</v>
      </c>
      <c r="C20" s="79">
        <f>(C32+C33)*(($B$5+1)^(C13))</f>
        <v>-93305.49999999999</v>
      </c>
      <c r="D20" s="79">
        <f aca="true" t="shared" si="7" ref="D20:V20">(D32+D33)*(($B$5+1)^(D13))</f>
        <v>0</v>
      </c>
      <c r="E20" s="79">
        <f t="shared" si="7"/>
        <v>-149378.39297725496</v>
      </c>
      <c r="F20" s="79">
        <f t="shared" si="7"/>
        <v>-97938.52606632025</v>
      </c>
      <c r="G20" s="79">
        <f t="shared" si="7"/>
        <v>-100974.62037437619</v>
      </c>
      <c r="H20" s="79">
        <f t="shared" si="7"/>
        <v>-104104.83360598184</v>
      </c>
      <c r="I20" s="79">
        <f t="shared" si="7"/>
        <v>-163053.63115369165</v>
      </c>
      <c r="J20" s="79">
        <f t="shared" si="7"/>
        <v>-110659.37803464805</v>
      </c>
      <c r="K20" s="79">
        <f t="shared" si="7"/>
        <v>-114089.81875372211</v>
      </c>
      <c r="L20" s="79">
        <f t="shared" si="7"/>
        <v>-117626.6031350875</v>
      </c>
      <c r="M20" s="79">
        <f t="shared" si="7"/>
        <v>-121273.0278322752</v>
      </c>
      <c r="N20" s="79">
        <f t="shared" si="7"/>
        <v>-189943.2222705073</v>
      </c>
      <c r="O20" s="79">
        <f t="shared" si="7"/>
        <v>-135489.2569879113</v>
      </c>
      <c r="P20" s="79">
        <f t="shared" si="7"/>
        <v>-167595.10987707166</v>
      </c>
      <c r="Q20" s="79">
        <f t="shared" si="7"/>
        <v>-502109.080564626</v>
      </c>
      <c r="R20" s="79">
        <f t="shared" si="7"/>
        <v>-191711.21135988896</v>
      </c>
      <c r="S20" s="79">
        <f t="shared" si="7"/>
        <v>-273269.5839936978</v>
      </c>
      <c r="T20" s="79">
        <f t="shared" si="7"/>
        <v>-203781.5409383189</v>
      </c>
      <c r="U20" s="79">
        <f t="shared" si="7"/>
        <v>-210098.76870740677</v>
      </c>
      <c r="V20" s="79">
        <f t="shared" si="7"/>
        <v>-216611.83053733638</v>
      </c>
      <c r="W20" s="51">
        <f aca="true" t="shared" si="8" ref="W20:AB20">W32</f>
        <v>0</v>
      </c>
      <c r="X20" s="60">
        <f t="shared" si="8"/>
        <v>0</v>
      </c>
      <c r="Y20" s="60">
        <f t="shared" si="8"/>
        <v>0</v>
      </c>
      <c r="Z20" s="60">
        <f t="shared" si="8"/>
        <v>0</v>
      </c>
      <c r="AA20" s="60">
        <f t="shared" si="8"/>
        <v>0</v>
      </c>
      <c r="AB20" s="60">
        <f t="shared" si="8"/>
        <v>0</v>
      </c>
      <c r="AC20" s="64"/>
    </row>
    <row r="21" spans="1:27" s="44" customFormat="1" ht="15.75">
      <c r="A21" s="100" t="s">
        <v>113</v>
      </c>
      <c r="B21" s="75">
        <f>B37+B38</f>
        <v>-17700</v>
      </c>
      <c r="C21" s="75">
        <f>(C37+C38)*(($B$5+1)^(C13))</f>
        <v>-93305.49999999999</v>
      </c>
      <c r="D21" s="75">
        <f aca="true" t="shared" si="9" ref="D21:V21">(D37+D38)*(($B$5+1)^(D13))</f>
        <v>0</v>
      </c>
      <c r="E21" s="75">
        <f t="shared" si="9"/>
        <v>-149378.39297725496</v>
      </c>
      <c r="F21" s="75">
        <f t="shared" si="9"/>
        <v>-97938.52606632025</v>
      </c>
      <c r="G21" s="75">
        <f t="shared" si="9"/>
        <v>-106129.3584357123</v>
      </c>
      <c r="H21" s="75">
        <f t="shared" si="9"/>
        <v>-131278.02073490823</v>
      </c>
      <c r="I21" s="75">
        <f t="shared" si="9"/>
        <v>-377347.86888528964</v>
      </c>
      <c r="J21" s="75">
        <f t="shared" si="9"/>
        <v>-133717.13866603115</v>
      </c>
      <c r="K21" s="75">
        <f t="shared" si="9"/>
        <v>-137862.36996467807</v>
      </c>
      <c r="L21" s="75">
        <f t="shared" si="9"/>
        <v>-142136.1034335831</v>
      </c>
      <c r="M21" s="75">
        <f t="shared" si="9"/>
        <v>-146542.32264002418</v>
      </c>
      <c r="N21" s="75">
        <f t="shared" si="9"/>
        <v>-215995.8652172965</v>
      </c>
      <c r="O21" s="75">
        <f t="shared" si="9"/>
        <v>-155768.77381576275</v>
      </c>
      <c r="P21" s="75">
        <f t="shared" si="9"/>
        <v>-160597.60580405136</v>
      </c>
      <c r="Q21" s="75">
        <f t="shared" si="9"/>
        <v>-172571.22074186936</v>
      </c>
      <c r="R21" s="75">
        <f t="shared" si="9"/>
        <v>-207583.58439877117</v>
      </c>
      <c r="S21" s="75">
        <f t="shared" si="9"/>
        <v>-349178.96867288975</v>
      </c>
      <c r="T21" s="75">
        <f t="shared" si="9"/>
        <v>-282044.1165425658</v>
      </c>
      <c r="U21" s="75">
        <f t="shared" si="9"/>
        <v>-290787.48415538535</v>
      </c>
      <c r="V21" s="75">
        <f t="shared" si="9"/>
        <v>-299801.8961642023</v>
      </c>
      <c r="X21" s="42" t="s">
        <v>90</v>
      </c>
      <c r="Y21" s="43">
        <f>E$19</f>
        <v>-149378.39297725496</v>
      </c>
      <c r="Z21" s="44">
        <v>0.7118</v>
      </c>
      <c r="AA21" s="44">
        <f>Y21*Z21</f>
        <v>-106327.54012121008</v>
      </c>
    </row>
    <row r="22" spans="1:27" s="45" customFormat="1" ht="15.75">
      <c r="A22" s="117"/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X22" s="42"/>
      <c r="Y22" s="43"/>
      <c r="Z22" s="44"/>
      <c r="AA22" s="44"/>
    </row>
    <row r="23" spans="1:34" ht="18.75">
      <c r="A23" s="91" t="s">
        <v>117</v>
      </c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4"/>
      <c r="X23" s="67"/>
      <c r="Y23" s="68"/>
      <c r="Z23" s="4"/>
      <c r="AA23" s="4"/>
      <c r="AB23" s="4"/>
      <c r="AC23" s="4"/>
      <c r="AD23" s="4"/>
      <c r="AE23" s="4"/>
      <c r="AF23" s="4"/>
      <c r="AG23" s="4"/>
      <c r="AH23" s="4"/>
    </row>
    <row r="24" spans="1:27" s="45" customFormat="1" ht="15.75">
      <c r="A24" s="117"/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X24" s="42"/>
      <c r="Y24" s="43"/>
      <c r="Z24" s="44"/>
      <c r="AA24" s="44"/>
    </row>
    <row r="25" spans="1:53" ht="15.75">
      <c r="A25" s="78" t="s">
        <v>8</v>
      </c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4"/>
      <c r="X25" s="67" t="s">
        <v>92</v>
      </c>
      <c r="Y25" s="68">
        <f>G$19</f>
        <v>-100974.62037437619</v>
      </c>
      <c r="Z25" s="4">
        <v>0.5674</v>
      </c>
      <c r="AA25" s="4">
        <f>Y25*Z25</f>
        <v>-57292.99960042105</v>
      </c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</row>
    <row r="26" spans="1:53" s="114" customFormat="1" ht="15.75">
      <c r="A26" s="89" t="s">
        <v>107</v>
      </c>
      <c r="B26" s="101">
        <f>'Component Costs - Option 1'!C55</f>
        <v>0</v>
      </c>
      <c r="C26" s="101">
        <f>'Component Costs - Option 1'!D55</f>
        <v>-49500</v>
      </c>
      <c r="D26" s="101">
        <f>'Component Costs - Option 1'!E55</f>
        <v>-1985000</v>
      </c>
      <c r="E26" s="101">
        <f>'Component Costs - Option 1'!F55</f>
        <v>0</v>
      </c>
      <c r="F26" s="101">
        <f>'Component Costs - Option 1'!G55</f>
        <v>0</v>
      </c>
      <c r="G26" s="101">
        <f>'Component Costs - Option 1'!H55</f>
        <v>0</v>
      </c>
      <c r="H26" s="101">
        <f>'Component Costs - Option 1'!I55</f>
        <v>0</v>
      </c>
      <c r="I26" s="101">
        <f>'Component Costs - Option 1'!J55</f>
        <v>0</v>
      </c>
      <c r="J26" s="101">
        <f>'Component Costs - Option 1'!K55</f>
        <v>0</v>
      </c>
      <c r="K26" s="101">
        <f>'Component Costs - Option 1'!L55</f>
        <v>-12375</v>
      </c>
      <c r="L26" s="101">
        <f>'Component Costs - Option 1'!M55</f>
        <v>-496250</v>
      </c>
      <c r="M26" s="101">
        <f>'Component Costs - Option 1'!N55</f>
        <v>0</v>
      </c>
      <c r="N26" s="101">
        <f>'Component Costs - Option 1'!O55</f>
        <v>0</v>
      </c>
      <c r="O26" s="101">
        <f>'Component Costs - Option 1'!P55</f>
        <v>0</v>
      </c>
      <c r="P26" s="101">
        <f>'Component Costs - Option 1'!Q55</f>
        <v>0</v>
      </c>
      <c r="Q26" s="101">
        <f>'Component Costs - Option 1'!R55</f>
        <v>0</v>
      </c>
      <c r="R26" s="101">
        <f>'Component Costs - Option 1'!S55</f>
        <v>0</v>
      </c>
      <c r="S26" s="101">
        <f>'Component Costs - Option 1'!T55</f>
        <v>0</v>
      </c>
      <c r="T26" s="101">
        <f>'Component Costs - Option 1'!U55</f>
        <v>0</v>
      </c>
      <c r="U26" s="101">
        <f>'Component Costs - Option 1'!V55</f>
        <v>0</v>
      </c>
      <c r="V26" s="101">
        <f>'Component Costs - Option 1'!W55</f>
        <v>0</v>
      </c>
      <c r="W26" s="111">
        <f>'Component Costs - Option 1'!X55</f>
        <v>0</v>
      </c>
      <c r="X26" s="112">
        <f>'Component Costs - Option 1'!Y55</f>
        <v>0</v>
      </c>
      <c r="Y26" s="112">
        <f>'Component Costs - Option 1'!Z55</f>
        <v>0</v>
      </c>
      <c r="Z26" s="112">
        <f>'Component Costs - Option 1'!AA55</f>
        <v>0</v>
      </c>
      <c r="AA26" s="112">
        <f>'Component Costs - Option 1'!AB55</f>
        <v>0</v>
      </c>
      <c r="AB26" s="112">
        <f>'Component Costs - Option 1'!AC55</f>
        <v>0</v>
      </c>
      <c r="AC26" s="113"/>
      <c r="AD26" s="113"/>
      <c r="AE26" s="113"/>
      <c r="AF26" s="113"/>
      <c r="AG26" s="113"/>
      <c r="AH26" s="113"/>
      <c r="AI26" s="113"/>
      <c r="AJ26" s="113"/>
      <c r="AK26" s="113"/>
      <c r="AL26" s="113"/>
      <c r="AM26" s="113"/>
      <c r="AN26" s="113"/>
      <c r="AO26" s="113"/>
      <c r="AP26" s="113"/>
      <c r="AQ26" s="113"/>
      <c r="AR26" s="113"/>
      <c r="AS26" s="113"/>
      <c r="AT26" s="113"/>
      <c r="AU26" s="113"/>
      <c r="AV26" s="113"/>
      <c r="AW26" s="113"/>
      <c r="AX26" s="113"/>
      <c r="AY26" s="113"/>
      <c r="AZ26" s="113"/>
      <c r="BA26" s="113"/>
    </row>
    <row r="27" spans="1:53" ht="15.75">
      <c r="A27" s="118" t="s">
        <v>108</v>
      </c>
      <c r="B27" s="74">
        <f>'Component Costs - Option 1'!C56</f>
        <v>-17700</v>
      </c>
      <c r="C27" s="74">
        <f>'Component Costs - Option 1'!D56</f>
        <v>-90500</v>
      </c>
      <c r="D27" s="74">
        <f>'Component Costs - Option 1'!E56</f>
        <v>0</v>
      </c>
      <c r="E27" s="74">
        <f>'Component Costs - Option 1'!F56</f>
        <v>-396305</v>
      </c>
      <c r="F27" s="74">
        <f>'Component Costs - Option 1'!G56</f>
        <v>-346680</v>
      </c>
      <c r="G27" s="74">
        <f>'Component Costs - Option 1'!H56</f>
        <v>-346680</v>
      </c>
      <c r="H27" s="74">
        <f>'Component Costs - Option 1'!I56</f>
        <v>-346680</v>
      </c>
      <c r="I27" s="74">
        <f>'Component Costs - Option 1'!J56</f>
        <v>-361680</v>
      </c>
      <c r="J27" s="74">
        <f>'Component Costs - Option 1'!K56</f>
        <v>-351105</v>
      </c>
      <c r="K27" s="74">
        <f>'Component Costs - Option 1'!L56</f>
        <v>-369305</v>
      </c>
      <c r="L27" s="74">
        <f>'Component Costs - Option 1'!M56</f>
        <v>-411192.5</v>
      </c>
      <c r="M27" s="74">
        <f>'Component Costs - Option 1'!N56</f>
        <v>-411192.5</v>
      </c>
      <c r="N27" s="74">
        <f>'Component Costs - Option 1'!O56</f>
        <v>-426192.5</v>
      </c>
      <c r="O27" s="74">
        <f>'Component Costs - Option 1'!P56</f>
        <v>-411192.5</v>
      </c>
      <c r="P27" s="74">
        <f>'Component Costs - Option 1'!Q56</f>
        <v>-411192.5</v>
      </c>
      <c r="Q27" s="74">
        <f>'Component Costs - Option 1'!R56</f>
        <v>-411192.5</v>
      </c>
      <c r="R27" s="74">
        <f>'Component Costs - Option 1'!S56</f>
        <v>-411192.5</v>
      </c>
      <c r="S27" s="74">
        <f>'Component Costs - Option 1'!T56</f>
        <v>-426192.5</v>
      </c>
      <c r="T27" s="74">
        <f>'Component Costs - Option 1'!U56</f>
        <v>-411192.5</v>
      </c>
      <c r="U27" s="74">
        <f>'Component Costs - Option 1'!V56</f>
        <v>-411192.5</v>
      </c>
      <c r="V27" s="75">
        <f>'Component Costs - Option 1'!W56</f>
        <v>-411192.5</v>
      </c>
      <c r="W27" s="4"/>
      <c r="X27" s="67"/>
      <c r="Y27" s="68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</row>
    <row r="28" spans="1:53" ht="15.75">
      <c r="A28" s="119" t="s">
        <v>74</v>
      </c>
      <c r="B28" s="76">
        <f>'Component Costs - Option 1'!C57</f>
        <v>0</v>
      </c>
      <c r="C28" s="76">
        <f>'Component Costs - Option 1'!D57</f>
        <v>0</v>
      </c>
      <c r="D28" s="76">
        <f>'Component Costs - Option 1'!E57</f>
        <v>0</v>
      </c>
      <c r="E28" s="76">
        <f>'Component Costs - Option 1'!F57</f>
        <v>260000</v>
      </c>
      <c r="F28" s="76">
        <f>'Component Costs - Option 1'!G57</f>
        <v>260000</v>
      </c>
      <c r="G28" s="76">
        <f>'Component Costs - Option 1'!H57</f>
        <v>260000</v>
      </c>
      <c r="H28" s="76">
        <f>'Component Costs - Option 1'!I57</f>
        <v>260000</v>
      </c>
      <c r="I28" s="76">
        <f>'Component Costs - Option 1'!J57</f>
        <v>230000</v>
      </c>
      <c r="J28" s="76">
        <f>'Component Costs - Option 1'!K57</f>
        <v>260000</v>
      </c>
      <c r="K28" s="76">
        <f>'Component Costs - Option 1'!L57</f>
        <v>260000</v>
      </c>
      <c r="L28" s="76">
        <f>'Component Costs - Option 1'!M57</f>
        <v>100000</v>
      </c>
      <c r="M28" s="76">
        <f>'Component Costs - Option 1'!N57</f>
        <v>300000</v>
      </c>
      <c r="N28" s="76">
        <f>'Component Costs - Option 1'!O57</f>
        <v>270000</v>
      </c>
      <c r="O28" s="76">
        <f>'Component Costs - Option 1'!P57</f>
        <v>300000</v>
      </c>
      <c r="P28" s="76">
        <f>'Component Costs - Option 1'!Q57</f>
        <v>300000</v>
      </c>
      <c r="Q28" s="76">
        <f>'Component Costs - Option 1'!R57</f>
        <v>300000</v>
      </c>
      <c r="R28" s="76">
        <f>'Component Costs - Option 1'!S57</f>
        <v>300000</v>
      </c>
      <c r="S28" s="76">
        <f>'Component Costs - Option 1'!T57</f>
        <v>270000</v>
      </c>
      <c r="T28" s="76">
        <f>'Component Costs - Option 1'!U57</f>
        <v>300000</v>
      </c>
      <c r="U28" s="76">
        <f>'Component Costs - Option 1'!V57</f>
        <v>300000</v>
      </c>
      <c r="V28" s="92">
        <f>'Component Costs - Option 1'!W57</f>
        <v>300000</v>
      </c>
      <c r="W28" s="70">
        <f>'Component Costs - Option 1'!X57</f>
        <v>4830000</v>
      </c>
      <c r="X28" s="70">
        <f>'Component Costs - Option 1'!Y57</f>
        <v>-9722877.5</v>
      </c>
      <c r="Y28" s="70">
        <f>'Component Costs - Option 1'!Z57</f>
        <v>0</v>
      </c>
      <c r="Z28" s="70">
        <f>'Component Costs - Option 1'!AA57</f>
        <v>0</v>
      </c>
      <c r="AA28" s="70">
        <f>'Component Costs - Option 1'!AB57</f>
        <v>0</v>
      </c>
      <c r="AB28" s="70">
        <f>'Component Costs - Option 1'!AC57</f>
        <v>0</v>
      </c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</row>
    <row r="29" spans="1:53" ht="15.75">
      <c r="A29" s="17"/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4"/>
      <c r="X29" s="67"/>
      <c r="Y29" s="68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</row>
    <row r="30" spans="1:53" ht="15.75">
      <c r="A30" s="78" t="s">
        <v>10</v>
      </c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4"/>
      <c r="X30" s="67" t="s">
        <v>92</v>
      </c>
      <c r="Y30" s="68">
        <f>G$19</f>
        <v>-100974.62037437619</v>
      </c>
      <c r="Z30" s="4">
        <v>0.5674</v>
      </c>
      <c r="AA30" s="4">
        <f>Y30*Z30</f>
        <v>-57292.99960042105</v>
      </c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</row>
    <row r="31" spans="1:53" s="114" customFormat="1" ht="15.75">
      <c r="A31" s="89" t="s">
        <v>107</v>
      </c>
      <c r="B31" s="101">
        <f>'Component Cost - Option 2'!C55</f>
        <v>0</v>
      </c>
      <c r="C31" s="101">
        <f>'Component Cost - Option 2'!D55</f>
        <v>-54450</v>
      </c>
      <c r="D31" s="101">
        <f>'Component Cost - Option 2'!E55</f>
        <v>-2183000</v>
      </c>
      <c r="E31" s="101">
        <f>'Component Cost - Option 2'!F55</f>
        <v>0</v>
      </c>
      <c r="F31" s="101">
        <f>'Component Cost - Option 2'!G55</f>
        <v>0</v>
      </c>
      <c r="G31" s="101">
        <f>'Component Cost - Option 2'!H55</f>
        <v>0</v>
      </c>
      <c r="H31" s="101">
        <f>'Component Cost - Option 2'!I55</f>
        <v>0</v>
      </c>
      <c r="I31" s="101">
        <f>'Component Cost - Option 2'!J55</f>
        <v>0</v>
      </c>
      <c r="J31" s="101">
        <f>'Component Cost - Option 2'!K55</f>
        <v>0</v>
      </c>
      <c r="K31" s="101">
        <f>'Component Cost - Option 2'!L55</f>
        <v>0</v>
      </c>
      <c r="L31" s="101">
        <f>'Component Cost - Option 2'!M55</f>
        <v>0</v>
      </c>
      <c r="M31" s="101">
        <f>'Component Cost - Option 2'!N55</f>
        <v>0</v>
      </c>
      <c r="N31" s="101">
        <f>'Component Cost - Option 2'!O55</f>
        <v>0</v>
      </c>
      <c r="O31" s="101">
        <f>'Component Cost - Option 2'!P55</f>
        <v>0</v>
      </c>
      <c r="P31" s="101">
        <f>'Component Cost - Option 2'!Q55</f>
        <v>-13612.5</v>
      </c>
      <c r="Q31" s="101">
        <f>'Component Cost - Option 2'!R55</f>
        <v>-545750</v>
      </c>
      <c r="R31" s="101">
        <f>'Component Cost - Option 2'!S55</f>
        <v>0</v>
      </c>
      <c r="S31" s="101">
        <f>'Component Cost - Option 2'!T55</f>
        <v>0</v>
      </c>
      <c r="T31" s="101">
        <f>'Component Cost - Option 2'!U55</f>
        <v>0</v>
      </c>
      <c r="U31" s="101">
        <f>'Component Cost - Option 2'!V55</f>
        <v>0</v>
      </c>
      <c r="V31" s="101">
        <f>'Component Cost - Option 2'!W55</f>
        <v>0</v>
      </c>
      <c r="W31" s="111"/>
      <c r="X31" s="112"/>
      <c r="Y31" s="112"/>
      <c r="Z31" s="112"/>
      <c r="AA31" s="112"/>
      <c r="AB31" s="112"/>
      <c r="AC31" s="113"/>
      <c r="AD31" s="113"/>
      <c r="AE31" s="113"/>
      <c r="AF31" s="113"/>
      <c r="AG31" s="113"/>
      <c r="AH31" s="113"/>
      <c r="AI31" s="113"/>
      <c r="AJ31" s="113"/>
      <c r="AK31" s="113"/>
      <c r="AL31" s="113"/>
      <c r="AM31" s="113"/>
      <c r="AN31" s="113"/>
      <c r="AO31" s="113"/>
      <c r="AP31" s="113"/>
      <c r="AQ31" s="113"/>
      <c r="AR31" s="113"/>
      <c r="AS31" s="113"/>
      <c r="AT31" s="113"/>
      <c r="AU31" s="113"/>
      <c r="AV31" s="113"/>
      <c r="AW31" s="113"/>
      <c r="AX31" s="113"/>
      <c r="AY31" s="113"/>
      <c r="AZ31" s="113"/>
      <c r="BA31" s="113"/>
    </row>
    <row r="32" spans="1:53" ht="15.75">
      <c r="A32" s="118" t="s">
        <v>108</v>
      </c>
      <c r="B32" s="75">
        <f>'Component Cost - Option 2'!C56</f>
        <v>-17700</v>
      </c>
      <c r="C32" s="75">
        <f>'Component Cost - Option 2'!D56</f>
        <v>-90500</v>
      </c>
      <c r="D32" s="75">
        <f>'Component Cost - Option 2'!E56</f>
        <v>0</v>
      </c>
      <c r="E32" s="75">
        <f>'Component Cost - Option 2'!F56</f>
        <v>-396305</v>
      </c>
      <c r="F32" s="75">
        <f>'Component Cost - Option 2'!G56</f>
        <v>-346680</v>
      </c>
      <c r="G32" s="75">
        <f>'Component Cost - Option 2'!H56</f>
        <v>-346680</v>
      </c>
      <c r="H32" s="75">
        <f>'Component Cost - Option 2'!I56</f>
        <v>-346680</v>
      </c>
      <c r="I32" s="75">
        <f>'Component Cost - Option 2'!J56</f>
        <v>-361680</v>
      </c>
      <c r="J32" s="75">
        <f>'Component Cost - Option 2'!K56</f>
        <v>-346680</v>
      </c>
      <c r="K32" s="75">
        <f>'Component Cost - Option 2'!L56</f>
        <v>-346680</v>
      </c>
      <c r="L32" s="75">
        <f>'Component Cost - Option 2'!M56</f>
        <v>-346680</v>
      </c>
      <c r="M32" s="75">
        <f>'Component Cost - Option 2'!N56</f>
        <v>-346680</v>
      </c>
      <c r="N32" s="75">
        <f>'Component Cost - Option 2'!O56</f>
        <v>-361680</v>
      </c>
      <c r="O32" s="75">
        <f>'Component Cost - Option 2'!P56</f>
        <v>-351105</v>
      </c>
      <c r="P32" s="75">
        <f>'Component Cost - Option 2'!Q56</f>
        <v>-369305</v>
      </c>
      <c r="Q32" s="75">
        <f>'Component Cost - Option 2'!R56</f>
        <v>-417627.5</v>
      </c>
      <c r="R32" s="75">
        <f>'Component Cost - Option 2'!S56</f>
        <v>-417627.5</v>
      </c>
      <c r="S32" s="75">
        <f>'Component Cost - Option 2'!T56</f>
        <v>-432627.5</v>
      </c>
      <c r="T32" s="75">
        <f>'Component Cost - Option 2'!U56</f>
        <v>-417627.5</v>
      </c>
      <c r="U32" s="75">
        <f>'Component Cost - Option 2'!V56</f>
        <v>-417627.5</v>
      </c>
      <c r="V32" s="75">
        <f>'Component Cost - Option 2'!W56</f>
        <v>-417627.5</v>
      </c>
      <c r="W32" s="4"/>
      <c r="X32" s="67"/>
      <c r="Y32" s="68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</row>
    <row r="33" spans="1:53" ht="15.75">
      <c r="A33" s="119" t="s">
        <v>74</v>
      </c>
      <c r="B33" s="76">
        <f>'Component Cost - Option 2'!C57</f>
        <v>0</v>
      </c>
      <c r="C33" s="76">
        <f>'Component Cost - Option 2'!D57</f>
        <v>0</v>
      </c>
      <c r="D33" s="76">
        <f>'Component Cost - Option 2'!E57</f>
        <v>0</v>
      </c>
      <c r="E33" s="76">
        <f>'Component Cost - Option 2'!F57</f>
        <v>260000</v>
      </c>
      <c r="F33" s="76">
        <f>'Component Cost - Option 2'!G57</f>
        <v>260000</v>
      </c>
      <c r="G33" s="76">
        <f>'Component Cost - Option 2'!H57</f>
        <v>260000</v>
      </c>
      <c r="H33" s="76">
        <f>'Component Cost - Option 2'!I57</f>
        <v>260000</v>
      </c>
      <c r="I33" s="76">
        <f>'Component Cost - Option 2'!J57</f>
        <v>230000</v>
      </c>
      <c r="J33" s="76">
        <f>'Component Cost - Option 2'!K57</f>
        <v>260000</v>
      </c>
      <c r="K33" s="76">
        <f>'Component Cost - Option 2'!L57</f>
        <v>260000</v>
      </c>
      <c r="L33" s="76">
        <f>'Component Cost - Option 2'!M57</f>
        <v>260000</v>
      </c>
      <c r="M33" s="76">
        <f>'Component Cost - Option 2'!N57</f>
        <v>260000</v>
      </c>
      <c r="N33" s="76">
        <f>'Component Cost - Option 2'!O57</f>
        <v>230000</v>
      </c>
      <c r="O33" s="76">
        <f>'Component Cost - Option 2'!P57</f>
        <v>260000</v>
      </c>
      <c r="P33" s="76">
        <f>'Component Cost - Option 2'!Q57</f>
        <v>260000</v>
      </c>
      <c r="Q33" s="76">
        <f>'Component Cost - Option 2'!R57</f>
        <v>100000</v>
      </c>
      <c r="R33" s="76">
        <f>'Component Cost - Option 2'!S57</f>
        <v>300000</v>
      </c>
      <c r="S33" s="76">
        <f>'Component Cost - Option 2'!T57</f>
        <v>270000</v>
      </c>
      <c r="T33" s="76">
        <f>'Component Cost - Option 2'!U57</f>
        <v>300000</v>
      </c>
      <c r="U33" s="76">
        <f>'Component Cost - Option 2'!V57</f>
        <v>300000</v>
      </c>
      <c r="V33" s="92">
        <f>'Component Cost - Option 2'!W57</f>
        <v>300000</v>
      </c>
      <c r="W33" s="4"/>
      <c r="X33" s="67"/>
      <c r="Y33" s="68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</row>
    <row r="34" spans="1:53" ht="15.75">
      <c r="A34" s="17"/>
      <c r="B34" s="77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4"/>
      <c r="X34" s="67"/>
      <c r="Y34" s="68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</row>
    <row r="35" spans="1:53" ht="15.75">
      <c r="A35" s="78" t="s">
        <v>12</v>
      </c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4"/>
      <c r="X35" s="67" t="s">
        <v>92</v>
      </c>
      <c r="Y35" s="68">
        <f>G$19</f>
        <v>-100974.62037437619</v>
      </c>
      <c r="Z35" s="4">
        <v>0.5674</v>
      </c>
      <c r="AA35" s="4">
        <f>Y35*Z35</f>
        <v>-57292.99960042105</v>
      </c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</row>
    <row r="36" spans="1:53" s="114" customFormat="1" ht="15.75">
      <c r="A36" s="89" t="s">
        <v>107</v>
      </c>
      <c r="B36" s="101">
        <f>'Component Cost - Option 3'!C55</f>
        <v>0</v>
      </c>
      <c r="C36" s="101">
        <f>'Component Cost - Option 3'!D55</f>
        <v>-44550</v>
      </c>
      <c r="D36" s="101">
        <f>'Component Cost - Option 3'!E55</f>
        <v>-1786500</v>
      </c>
      <c r="E36" s="101">
        <f>'Component Cost - Option 3'!F55</f>
        <v>0</v>
      </c>
      <c r="F36" s="101">
        <f>'Component Cost - Option 3'!G55</f>
        <v>0</v>
      </c>
      <c r="G36" s="101">
        <f>'Component Cost - Option 3'!H55</f>
        <v>0</v>
      </c>
      <c r="H36" s="101">
        <f>'Component Cost - Option 3'!I55</f>
        <v>-11137.5</v>
      </c>
      <c r="I36" s="101">
        <f>'Component Cost - Option 3'!J55</f>
        <v>-446625</v>
      </c>
      <c r="J36" s="101">
        <f>'Component Cost - Option 3'!K55</f>
        <v>0</v>
      </c>
      <c r="K36" s="101">
        <f>'Component Cost - Option 3'!L55</f>
        <v>0</v>
      </c>
      <c r="L36" s="101">
        <f>'Component Cost - Option 3'!M55</f>
        <v>0</v>
      </c>
      <c r="M36" s="101">
        <f>'Component Cost - Option 3'!N55</f>
        <v>0</v>
      </c>
      <c r="N36" s="101">
        <f>'Component Cost - Option 3'!O55</f>
        <v>0</v>
      </c>
      <c r="O36" s="101">
        <f>'Component Cost - Option 3'!P55</f>
        <v>0</v>
      </c>
      <c r="P36" s="101">
        <f>'Component Cost - Option 3'!Q55</f>
        <v>0</v>
      </c>
      <c r="Q36" s="101">
        <f>'Component Cost - Option 3'!R55</f>
        <v>0</v>
      </c>
      <c r="R36" s="101">
        <f>'Component Cost - Option 3'!S55</f>
        <v>-11137.5</v>
      </c>
      <c r="S36" s="101">
        <f>'Component Cost - Option 3'!T55</f>
        <v>-446625</v>
      </c>
      <c r="T36" s="101">
        <f>'Component Cost - Option 3'!U55</f>
        <v>0</v>
      </c>
      <c r="U36" s="101">
        <f>'Component Cost - Option 3'!V55</f>
        <v>0</v>
      </c>
      <c r="V36" s="101">
        <f>'Component Cost - Option 3'!W55</f>
        <v>0</v>
      </c>
      <c r="W36" s="111"/>
      <c r="X36" s="112"/>
      <c r="Y36" s="112"/>
      <c r="Z36" s="112"/>
      <c r="AA36" s="112"/>
      <c r="AB36" s="112"/>
      <c r="AC36" s="113"/>
      <c r="AD36" s="113"/>
      <c r="AE36" s="113"/>
      <c r="AF36" s="113"/>
      <c r="AG36" s="113"/>
      <c r="AH36" s="113"/>
      <c r="AI36" s="113"/>
      <c r="AJ36" s="113"/>
      <c r="AK36" s="113"/>
      <c r="AL36" s="113"/>
      <c r="AM36" s="113"/>
      <c r="AN36" s="113"/>
      <c r="AO36" s="113"/>
      <c r="AP36" s="113"/>
      <c r="AQ36" s="113"/>
      <c r="AR36" s="113"/>
      <c r="AS36" s="113"/>
      <c r="AT36" s="113"/>
      <c r="AU36" s="113"/>
      <c r="AV36" s="113"/>
      <c r="AW36" s="113"/>
      <c r="AX36" s="113"/>
      <c r="AY36" s="113"/>
      <c r="AZ36" s="113"/>
      <c r="BA36" s="113"/>
    </row>
    <row r="37" spans="1:53" ht="15.75">
      <c r="A37" s="118" t="s">
        <v>108</v>
      </c>
      <c r="B37" s="75">
        <f>'Component Cost - Option 3'!C56</f>
        <v>-17700</v>
      </c>
      <c r="C37" s="75">
        <f>'Component Cost - Option 3'!D56</f>
        <v>-90500</v>
      </c>
      <c r="D37" s="75">
        <f>'Component Cost - Option 3'!E56</f>
        <v>0</v>
      </c>
      <c r="E37" s="75">
        <f>'Component Cost - Option 3'!F56</f>
        <v>-396305</v>
      </c>
      <c r="F37" s="75">
        <f>'Component Cost - Option 3'!G56</f>
        <v>-346680</v>
      </c>
      <c r="G37" s="75">
        <f>'Component Cost - Option 3'!H56</f>
        <v>-351105</v>
      </c>
      <c r="H37" s="75">
        <f>'Component Cost - Option 3'!I56</f>
        <v>-369305</v>
      </c>
      <c r="I37" s="75">
        <f>'Component Cost - Option 3'!J56</f>
        <v>-404741.25</v>
      </c>
      <c r="J37" s="75">
        <f>'Component Cost - Option 3'!K56</f>
        <v>-404741.25</v>
      </c>
      <c r="K37" s="75">
        <f>'Component Cost - Option 3'!L56</f>
        <v>-404741.25</v>
      </c>
      <c r="L37" s="75">
        <f>'Component Cost - Option 3'!M56</f>
        <v>-404741.25</v>
      </c>
      <c r="M37" s="75">
        <f>'Component Cost - Option 3'!N56</f>
        <v>-404741.25</v>
      </c>
      <c r="N37" s="75">
        <f>'Component Cost - Option 3'!O56</f>
        <v>-419741.25</v>
      </c>
      <c r="O37" s="75">
        <f>'Component Cost - Option 3'!P56</f>
        <v>-404741.25</v>
      </c>
      <c r="P37" s="75">
        <f>'Component Cost - Option 3'!Q56</f>
        <v>-404741.25</v>
      </c>
      <c r="Q37" s="75">
        <f>'Component Cost - Option 3'!R56</f>
        <v>-409166.25</v>
      </c>
      <c r="R37" s="75">
        <f>'Component Cost - Option 3'!S56</f>
        <v>-427366.25</v>
      </c>
      <c r="S37" s="75">
        <f>'Component Cost - Option 3'!T56</f>
        <v>-477802.5</v>
      </c>
      <c r="T37" s="75">
        <f>'Component Cost - Option 3'!U56</f>
        <v>-462802.5</v>
      </c>
      <c r="U37" s="75">
        <f>'Component Cost - Option 3'!V56</f>
        <v>-462802.5</v>
      </c>
      <c r="V37" s="75">
        <f>'Component Cost - Option 3'!W56</f>
        <v>-462802.5</v>
      </c>
      <c r="W37" s="4"/>
      <c r="X37" s="67"/>
      <c r="Y37" s="68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</row>
    <row r="38" spans="1:53" ht="15.75">
      <c r="A38" s="119" t="s">
        <v>74</v>
      </c>
      <c r="B38" s="76">
        <f>'Component Cost - Option 3'!C57</f>
        <v>0</v>
      </c>
      <c r="C38" s="76">
        <f>'Component Cost - Option 3'!D57</f>
        <v>0</v>
      </c>
      <c r="D38" s="76">
        <f>'Component Cost - Option 3'!E57</f>
        <v>0</v>
      </c>
      <c r="E38" s="76">
        <f>'Component Cost - Option 3'!F57</f>
        <v>260000</v>
      </c>
      <c r="F38" s="76">
        <f>'Component Cost - Option 3'!G57</f>
        <v>260000</v>
      </c>
      <c r="G38" s="76">
        <f>'Component Cost - Option 3'!H57</f>
        <v>260000</v>
      </c>
      <c r="H38" s="76">
        <f>'Component Cost - Option 3'!I57</f>
        <v>260000</v>
      </c>
      <c r="I38" s="76">
        <f>'Component Cost - Option 3'!J57</f>
        <v>100000</v>
      </c>
      <c r="J38" s="76">
        <f>'Component Cost - Option 3'!K57</f>
        <v>300000</v>
      </c>
      <c r="K38" s="76">
        <f>'Component Cost - Option 3'!L57</f>
        <v>300000</v>
      </c>
      <c r="L38" s="76">
        <f>'Component Cost - Option 3'!M57</f>
        <v>300000</v>
      </c>
      <c r="M38" s="76">
        <f>'Component Cost - Option 3'!N57</f>
        <v>300000</v>
      </c>
      <c r="N38" s="76">
        <f>'Component Cost - Option 3'!O57</f>
        <v>270000</v>
      </c>
      <c r="O38" s="76">
        <f>'Component Cost - Option 3'!P57</f>
        <v>300000</v>
      </c>
      <c r="P38" s="76">
        <f>'Component Cost - Option 3'!Q57</f>
        <v>300000</v>
      </c>
      <c r="Q38" s="76">
        <f>'Component Cost - Option 3'!R57</f>
        <v>300000</v>
      </c>
      <c r="R38" s="76">
        <f>'Component Cost - Option 3'!S57</f>
        <v>300000</v>
      </c>
      <c r="S38" s="76">
        <f>'Component Cost - Option 3'!T57</f>
        <v>270000</v>
      </c>
      <c r="T38" s="76">
        <f>'Component Cost - Option 3'!U57</f>
        <v>300000</v>
      </c>
      <c r="U38" s="76">
        <f>'Component Cost - Option 3'!V57</f>
        <v>300000</v>
      </c>
      <c r="V38" s="92">
        <f>'Component Cost - Option 3'!W57</f>
        <v>300000</v>
      </c>
      <c r="W38" s="4"/>
      <c r="X38" s="67"/>
      <c r="Y38" s="68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</row>
    <row r="39" spans="1:34" ht="15.75">
      <c r="A39" s="69"/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4"/>
      <c r="X39" s="67"/>
      <c r="Y39" s="68"/>
      <c r="Z39" s="4"/>
      <c r="AA39" s="4"/>
      <c r="AB39" s="4"/>
      <c r="AC39" s="4"/>
      <c r="AD39" s="4"/>
      <c r="AE39" s="4"/>
      <c r="AF39" s="4"/>
      <c r="AG39" s="4"/>
      <c r="AH39" s="4"/>
    </row>
    <row r="40" spans="1:34" ht="18.75">
      <c r="A40" s="91" t="s">
        <v>119</v>
      </c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4"/>
      <c r="X40" s="67"/>
      <c r="Y40" s="68"/>
      <c r="Z40" s="4"/>
      <c r="AA40" s="4"/>
      <c r="AB40" s="4"/>
      <c r="AC40" s="4"/>
      <c r="AD40" s="4"/>
      <c r="AE40" s="4"/>
      <c r="AF40" s="4"/>
      <c r="AG40" s="4"/>
      <c r="AH40" s="4"/>
    </row>
    <row r="41" spans="1:34" ht="15.75">
      <c r="A41" s="69"/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4"/>
      <c r="X41" s="67"/>
      <c r="Y41" s="68"/>
      <c r="Z41" s="4"/>
      <c r="AA41" s="4"/>
      <c r="AB41" s="4"/>
      <c r="AC41" s="4"/>
      <c r="AD41" s="4"/>
      <c r="AE41" s="4"/>
      <c r="AF41" s="4"/>
      <c r="AG41" s="4"/>
      <c r="AH41" s="4"/>
    </row>
    <row r="42" spans="1:34" ht="15.75">
      <c r="A42" s="78" t="s">
        <v>8</v>
      </c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4"/>
      <c r="X42" s="67"/>
      <c r="Y42" s="68"/>
      <c r="Z42" s="4"/>
      <c r="AA42" s="4"/>
      <c r="AB42" s="4"/>
      <c r="AC42" s="4"/>
      <c r="AD42" s="4"/>
      <c r="AE42" s="4"/>
      <c r="AF42" s="4"/>
      <c r="AG42" s="4"/>
      <c r="AH42" s="4"/>
    </row>
    <row r="43" spans="1:27" ht="15.75">
      <c r="A43" s="120" t="s">
        <v>68</v>
      </c>
      <c r="B43" s="73">
        <f>'Component Costs - Option 1'!C13</f>
        <v>-17700</v>
      </c>
      <c r="C43" s="73">
        <f>'Component Costs - Option 1'!D13</f>
        <v>0</v>
      </c>
      <c r="D43" s="73">
        <f>'Component Costs - Option 1'!E13</f>
        <v>0</v>
      </c>
      <c r="E43" s="73">
        <f>'Component Costs - Option 1'!F13</f>
        <v>0</v>
      </c>
      <c r="F43" s="73">
        <f>'Component Costs - Option 1'!G13</f>
        <v>0</v>
      </c>
      <c r="G43" s="73">
        <f>'Component Costs - Option 1'!H13</f>
        <v>0</v>
      </c>
      <c r="H43" s="73">
        <f>'Component Costs - Option 1'!I13</f>
        <v>0</v>
      </c>
      <c r="I43" s="73">
        <f>'Component Costs - Option 1'!J13</f>
        <v>0</v>
      </c>
      <c r="J43" s="73">
        <f>'Component Costs - Option 1'!K13</f>
        <v>-4425</v>
      </c>
      <c r="K43" s="72">
        <f>'Component Costs - Option 1'!L13</f>
        <v>0</v>
      </c>
      <c r="L43" s="73">
        <f>'Component Costs - Option 1'!M13</f>
        <v>0</v>
      </c>
      <c r="M43" s="73">
        <f>'Component Costs - Option 1'!N13</f>
        <v>0</v>
      </c>
      <c r="N43" s="73">
        <f>'Component Costs - Option 1'!O13</f>
        <v>0</v>
      </c>
      <c r="O43" s="73">
        <f>'Component Costs - Option 1'!P13</f>
        <v>0</v>
      </c>
      <c r="P43" s="73">
        <f>'Component Costs - Option 1'!Q13</f>
        <v>0</v>
      </c>
      <c r="Q43" s="73">
        <f>'Component Costs - Option 1'!R13</f>
        <v>0</v>
      </c>
      <c r="R43" s="73">
        <f>'Component Costs - Option 1'!S13</f>
        <v>0</v>
      </c>
      <c r="S43" s="73">
        <f>'Component Costs - Option 1'!T13</f>
        <v>0</v>
      </c>
      <c r="T43" s="73">
        <f>'Component Costs - Option 1'!U13</f>
        <v>0</v>
      </c>
      <c r="U43" s="73">
        <f>'Component Costs - Option 1'!V13</f>
        <v>0</v>
      </c>
      <c r="V43" s="73">
        <f>'Component Costs - Option 1'!W13</f>
        <v>0</v>
      </c>
      <c r="X43" s="16" t="s">
        <v>93</v>
      </c>
      <c r="Y43" s="41">
        <f>H$19</f>
        <v>-104104.83360598184</v>
      </c>
      <c r="Z43">
        <v>0.5066</v>
      </c>
      <c r="AA43">
        <f aca="true" t="shared" si="10" ref="AA43:AA56">Y43*Z43</f>
        <v>-52739.5087047904</v>
      </c>
    </row>
    <row r="44" spans="1:27" ht="15.75">
      <c r="A44" s="121" t="s">
        <v>69</v>
      </c>
      <c r="B44" s="79">
        <f>'Component Costs - Option 1'!C24</f>
        <v>0</v>
      </c>
      <c r="C44" s="79">
        <f>'Component Costs - Option 1'!D24</f>
        <v>-140000</v>
      </c>
      <c r="D44" s="79">
        <f>'Component Costs - Option 1'!E24</f>
        <v>0</v>
      </c>
      <c r="E44" s="79">
        <f>'Component Costs - Option 1'!F24</f>
        <v>0</v>
      </c>
      <c r="F44" s="79">
        <f>'Component Costs - Option 1'!G24</f>
        <v>0</v>
      </c>
      <c r="G44" s="79">
        <f>'Component Costs - Option 1'!H24</f>
        <v>0</v>
      </c>
      <c r="H44" s="79">
        <f>'Component Costs - Option 1'!I24</f>
        <v>0</v>
      </c>
      <c r="I44" s="79">
        <f>'Component Costs - Option 1'!J24</f>
        <v>0</v>
      </c>
      <c r="J44" s="79">
        <f>'Component Costs - Option 1'!K24</f>
        <v>0</v>
      </c>
      <c r="K44" s="74">
        <f>'Component Costs - Option 1'!L24</f>
        <v>-35000</v>
      </c>
      <c r="L44" s="79">
        <f>'Component Costs - Option 1'!M24</f>
        <v>0</v>
      </c>
      <c r="M44" s="79">
        <f>'Component Costs - Option 1'!N24</f>
        <v>0</v>
      </c>
      <c r="N44" s="79">
        <f>'Component Costs - Option 1'!O24</f>
        <v>0</v>
      </c>
      <c r="O44" s="79">
        <f>'Component Costs - Option 1'!P24</f>
        <v>0</v>
      </c>
      <c r="P44" s="79">
        <f>'Component Costs - Option 1'!Q24</f>
        <v>0</v>
      </c>
      <c r="Q44" s="79">
        <f>'Component Costs - Option 1'!R24</f>
        <v>0</v>
      </c>
      <c r="R44" s="79">
        <f>'Component Costs - Option 1'!S24</f>
        <v>0</v>
      </c>
      <c r="S44" s="79">
        <f>'Component Costs - Option 1'!T24</f>
        <v>0</v>
      </c>
      <c r="T44" s="79">
        <f>'Component Costs - Option 1'!U24</f>
        <v>0</v>
      </c>
      <c r="U44" s="79">
        <f>'Component Costs - Option 1'!V24</f>
        <v>0</v>
      </c>
      <c r="V44" s="79">
        <f>'Component Costs - Option 1'!W24</f>
        <v>0</v>
      </c>
      <c r="X44" s="16" t="s">
        <v>94</v>
      </c>
      <c r="Y44" s="41">
        <f>I$19</f>
        <v>-163053.63115369165</v>
      </c>
      <c r="Z44">
        <v>0.4523</v>
      </c>
      <c r="AA44">
        <f t="shared" si="10"/>
        <v>-73749.15737081473</v>
      </c>
    </row>
    <row r="45" spans="1:27" ht="15.75">
      <c r="A45" s="121" t="s">
        <v>70</v>
      </c>
      <c r="B45" s="79">
        <f>'Component Costs - Option 1'!C32</f>
        <v>0</v>
      </c>
      <c r="C45" s="79">
        <f>'Component Costs - Option 1'!D32</f>
        <v>0</v>
      </c>
      <c r="D45" s="79">
        <f>'Component Costs - Option 1'!E32</f>
        <v>-1985000</v>
      </c>
      <c r="E45" s="79">
        <f>'Component Costs - Option 1'!F32</f>
        <v>0</v>
      </c>
      <c r="F45" s="79">
        <f>'Component Costs - Option 1'!G32</f>
        <v>0</v>
      </c>
      <c r="G45" s="79">
        <f>'Component Costs - Option 1'!H32</f>
        <v>0</v>
      </c>
      <c r="H45" s="79">
        <f>'Component Costs - Option 1'!I32</f>
        <v>0</v>
      </c>
      <c r="I45" s="79">
        <f>'Component Costs - Option 1'!J32</f>
        <v>0</v>
      </c>
      <c r="J45" s="79">
        <f>'Component Costs - Option 1'!K32</f>
        <v>0</v>
      </c>
      <c r="K45" s="74">
        <f>'Component Costs - Option 1'!L32</f>
        <v>0</v>
      </c>
      <c r="L45" s="79">
        <f>'Component Costs - Option 1'!M32</f>
        <v>-496250</v>
      </c>
      <c r="M45" s="79">
        <f>'Component Costs - Option 1'!N32</f>
        <v>0</v>
      </c>
      <c r="N45" s="79">
        <f>'Component Costs - Option 1'!O32</f>
        <v>0</v>
      </c>
      <c r="O45" s="79">
        <f>'Component Costs - Option 1'!P32</f>
        <v>0</v>
      </c>
      <c r="P45" s="79">
        <f>'Component Costs - Option 1'!Q32</f>
        <v>0</v>
      </c>
      <c r="Q45" s="79">
        <f>'Component Costs - Option 1'!R32</f>
        <v>0</v>
      </c>
      <c r="R45" s="79">
        <f>'Component Costs - Option 1'!S32</f>
        <v>0</v>
      </c>
      <c r="S45" s="79">
        <f>'Component Costs - Option 1'!T32</f>
        <v>0</v>
      </c>
      <c r="T45" s="79">
        <f>'Component Costs - Option 1'!U32</f>
        <v>0</v>
      </c>
      <c r="U45" s="79">
        <f>'Component Costs - Option 1'!V32</f>
        <v>0</v>
      </c>
      <c r="V45" s="79">
        <f>'Component Costs - Option 1'!W32</f>
        <v>0</v>
      </c>
      <c r="X45" s="16" t="s">
        <v>95</v>
      </c>
      <c r="Y45" s="41">
        <f>J$19</f>
        <v>-116308.52141032084</v>
      </c>
      <c r="Z45">
        <v>0.4039</v>
      </c>
      <c r="AA45">
        <f t="shared" si="10"/>
        <v>-46977.011797628584</v>
      </c>
    </row>
    <row r="46" spans="1:27" ht="15.75">
      <c r="A46" s="121" t="s">
        <v>34</v>
      </c>
      <c r="B46" s="79">
        <f>'Component Costs - Option 1'!C42</f>
        <v>0</v>
      </c>
      <c r="C46" s="79">
        <f>'Component Costs - Option 1'!D42</f>
        <v>0</v>
      </c>
      <c r="D46" s="79">
        <f>'Component Costs - Option 1'!E42</f>
        <v>0</v>
      </c>
      <c r="E46" s="79">
        <f>'Component Costs - Option 1'!F42</f>
        <v>-42750</v>
      </c>
      <c r="F46" s="79">
        <f>'Component Costs - Option 1'!G42</f>
        <v>-42750</v>
      </c>
      <c r="G46" s="79">
        <f>'Component Costs - Option 1'!H42</f>
        <v>-42750</v>
      </c>
      <c r="H46" s="79">
        <f>'Component Costs - Option 1'!I42</f>
        <v>-42750</v>
      </c>
      <c r="I46" s="79">
        <f>'Component Costs - Option 1'!J42</f>
        <v>-57750</v>
      </c>
      <c r="J46" s="79">
        <f>'Component Costs - Option 1'!K42</f>
        <v>-42750</v>
      </c>
      <c r="K46" s="74">
        <f>'Component Costs - Option 1'!L42</f>
        <v>-42750</v>
      </c>
      <c r="L46" s="79">
        <f>'Component Costs - Option 1'!M42</f>
        <v>-42750</v>
      </c>
      <c r="M46" s="79">
        <f>'Component Costs - Option 1'!N42</f>
        <v>-42750</v>
      </c>
      <c r="N46" s="79">
        <f>'Component Costs - Option 1'!O42</f>
        <v>-57750</v>
      </c>
      <c r="O46" s="79">
        <f>'Component Costs - Option 1'!P42</f>
        <v>-42750</v>
      </c>
      <c r="P46" s="79">
        <f>'Component Costs - Option 1'!Q42</f>
        <v>-42750</v>
      </c>
      <c r="Q46" s="79">
        <f>'Component Costs - Option 1'!R42</f>
        <v>-42750</v>
      </c>
      <c r="R46" s="79">
        <f>'Component Costs - Option 1'!S42</f>
        <v>-42750</v>
      </c>
      <c r="S46" s="79">
        <f>'Component Costs - Option 1'!T42</f>
        <v>-57750</v>
      </c>
      <c r="T46" s="79">
        <f>'Component Costs - Option 1'!U42</f>
        <v>-42750</v>
      </c>
      <c r="U46" s="79">
        <f>'Component Costs - Option 1'!V42</f>
        <v>-42750</v>
      </c>
      <c r="V46" s="79">
        <f>'Component Costs - Option 1'!W42</f>
        <v>-42750</v>
      </c>
      <c r="X46" s="16" t="s">
        <v>96</v>
      </c>
      <c r="Y46" s="41">
        <f>K$19</f>
        <v>-143869.2621005491</v>
      </c>
      <c r="Z46">
        <v>0.3606</v>
      </c>
      <c r="AA46">
        <f t="shared" si="10"/>
        <v>-51879.255913458</v>
      </c>
    </row>
    <row r="47" spans="1:27" ht="15.75">
      <c r="A47" s="121" t="s">
        <v>73</v>
      </c>
      <c r="B47" s="79">
        <f>'Component Costs - Option 1'!C52</f>
        <v>0</v>
      </c>
      <c r="C47" s="79">
        <f>'Component Costs - Option 1'!D52</f>
        <v>0</v>
      </c>
      <c r="D47" s="79">
        <f>'Component Costs - Option 1'!E52</f>
        <v>0</v>
      </c>
      <c r="E47" s="79">
        <f>'Component Costs - Option 1'!F52</f>
        <v>-353555</v>
      </c>
      <c r="F47" s="79">
        <f>'Component Costs - Option 1'!G52</f>
        <v>-303930</v>
      </c>
      <c r="G47" s="79">
        <f>'Component Costs - Option 1'!H52</f>
        <v>-303930</v>
      </c>
      <c r="H47" s="79">
        <f>'Component Costs - Option 1'!I52</f>
        <v>-303930</v>
      </c>
      <c r="I47" s="79">
        <f>'Component Costs - Option 1'!J52</f>
        <v>-303930</v>
      </c>
      <c r="J47" s="79">
        <f>'Component Costs - Option 1'!K52</f>
        <v>-303930</v>
      </c>
      <c r="K47" s="74">
        <f>'Component Costs - Option 1'!L52</f>
        <v>-303930</v>
      </c>
      <c r="L47" s="79">
        <f>'Component Costs - Option 1'!M52</f>
        <v>-368442.5</v>
      </c>
      <c r="M47" s="79">
        <f>'Component Costs - Option 1'!N52</f>
        <v>-368442.5</v>
      </c>
      <c r="N47" s="79">
        <f>'Component Costs - Option 1'!O52</f>
        <v>-368442.5</v>
      </c>
      <c r="O47" s="79">
        <f>'Component Costs - Option 1'!P52</f>
        <v>-368442.5</v>
      </c>
      <c r="P47" s="79">
        <f>'Component Costs - Option 1'!Q52</f>
        <v>-368442.5</v>
      </c>
      <c r="Q47" s="79">
        <f>'Component Costs - Option 1'!R52</f>
        <v>-368442.5</v>
      </c>
      <c r="R47" s="79">
        <f>'Component Costs - Option 1'!S52</f>
        <v>-368442.5</v>
      </c>
      <c r="S47" s="79">
        <f>'Component Costs - Option 1'!T52</f>
        <v>-368442.5</v>
      </c>
      <c r="T47" s="79">
        <f>'Component Costs - Option 1'!U52</f>
        <v>-368442.5</v>
      </c>
      <c r="U47" s="79">
        <f>'Component Costs - Option 1'!V52</f>
        <v>-368442.5</v>
      </c>
      <c r="V47" s="79">
        <f>'Component Costs - Option 1'!W52</f>
        <v>-368442.5</v>
      </c>
      <c r="X47" s="16" t="s">
        <v>97</v>
      </c>
      <c r="Y47" s="41">
        <f>L$19</f>
        <v>-422294.8395952436</v>
      </c>
      <c r="Z47">
        <v>0.322</v>
      </c>
      <c r="AA47">
        <f t="shared" si="10"/>
        <v>-135978.93834966846</v>
      </c>
    </row>
    <row r="48" spans="1:27" ht="15.75">
      <c r="A48" s="122" t="s">
        <v>74</v>
      </c>
      <c r="B48" s="75">
        <f>'Component Costs - Option 1'!C57</f>
        <v>0</v>
      </c>
      <c r="C48" s="75">
        <f>'Component Costs - Option 1'!D57</f>
        <v>0</v>
      </c>
      <c r="D48" s="75">
        <f>'Component Costs - Option 1'!E57</f>
        <v>0</v>
      </c>
      <c r="E48" s="75">
        <f>'Component Costs - Option 1'!F57</f>
        <v>260000</v>
      </c>
      <c r="F48" s="75">
        <f>'Component Costs - Option 1'!G57</f>
        <v>260000</v>
      </c>
      <c r="G48" s="75">
        <f>'Component Costs - Option 1'!H57</f>
        <v>260000</v>
      </c>
      <c r="H48" s="75">
        <f>'Component Costs - Option 1'!I57</f>
        <v>260000</v>
      </c>
      <c r="I48" s="75">
        <f>'Component Costs - Option 1'!J57</f>
        <v>230000</v>
      </c>
      <c r="J48" s="75">
        <f>'Component Costs - Option 1'!K57</f>
        <v>260000</v>
      </c>
      <c r="K48" s="93">
        <f>'Component Costs - Option 1'!L57</f>
        <v>260000</v>
      </c>
      <c r="L48" s="75">
        <f>'Component Costs - Option 1'!M57</f>
        <v>100000</v>
      </c>
      <c r="M48" s="75">
        <f>'Component Costs - Option 1'!N57</f>
        <v>300000</v>
      </c>
      <c r="N48" s="75">
        <f>'Component Costs - Option 1'!O57</f>
        <v>270000</v>
      </c>
      <c r="O48" s="75">
        <f>'Component Costs - Option 1'!P57</f>
        <v>300000</v>
      </c>
      <c r="P48" s="75">
        <f>'Component Costs - Option 1'!Q57</f>
        <v>300000</v>
      </c>
      <c r="Q48" s="75">
        <f>'Component Costs - Option 1'!R57</f>
        <v>300000</v>
      </c>
      <c r="R48" s="75">
        <f>'Component Costs - Option 1'!S57</f>
        <v>300000</v>
      </c>
      <c r="S48" s="75">
        <f>'Component Costs - Option 1'!T57</f>
        <v>270000</v>
      </c>
      <c r="T48" s="75">
        <f>'Component Costs - Option 1'!U57</f>
        <v>300000</v>
      </c>
      <c r="U48" s="75">
        <f>'Component Costs - Option 1'!V57</f>
        <v>300000</v>
      </c>
      <c r="V48" s="75">
        <f>'Component Costs - Option 1'!W57</f>
        <v>300000</v>
      </c>
      <c r="X48" s="16" t="s">
        <v>98</v>
      </c>
      <c r="Y48" s="41">
        <f>M$19</f>
        <v>-155568.19505353324</v>
      </c>
      <c r="Z48">
        <v>0.2875</v>
      </c>
      <c r="AA48">
        <f t="shared" si="10"/>
        <v>-44725.85607789081</v>
      </c>
    </row>
    <row r="49" spans="1:27" ht="15.75">
      <c r="A49" s="123" t="s">
        <v>35</v>
      </c>
      <c r="B49" s="92">
        <f>SUM(B43:B48)</f>
        <v>-17700</v>
      </c>
      <c r="C49" s="92">
        <f aca="true" t="shared" si="11" ref="C49:V49">SUM(C43:C48)</f>
        <v>-140000</v>
      </c>
      <c r="D49" s="92">
        <f t="shared" si="11"/>
        <v>-1985000</v>
      </c>
      <c r="E49" s="92">
        <f t="shared" si="11"/>
        <v>-136305</v>
      </c>
      <c r="F49" s="92">
        <f t="shared" si="11"/>
        <v>-86680</v>
      </c>
      <c r="G49" s="92">
        <f t="shared" si="11"/>
        <v>-86680</v>
      </c>
      <c r="H49" s="92">
        <f t="shared" si="11"/>
        <v>-86680</v>
      </c>
      <c r="I49" s="92">
        <f t="shared" si="11"/>
        <v>-131680</v>
      </c>
      <c r="J49" s="92">
        <f t="shared" si="11"/>
        <v>-91105</v>
      </c>
      <c r="K49" s="76">
        <f t="shared" si="11"/>
        <v>-121680</v>
      </c>
      <c r="L49" s="92">
        <f t="shared" si="11"/>
        <v>-807442.5</v>
      </c>
      <c r="M49" s="92">
        <f t="shared" si="11"/>
        <v>-111192.5</v>
      </c>
      <c r="N49" s="92">
        <f t="shared" si="11"/>
        <v>-156192.5</v>
      </c>
      <c r="O49" s="92">
        <f t="shared" si="11"/>
        <v>-111192.5</v>
      </c>
      <c r="P49" s="92">
        <f t="shared" si="11"/>
        <v>-111192.5</v>
      </c>
      <c r="Q49" s="92">
        <f t="shared" si="11"/>
        <v>-111192.5</v>
      </c>
      <c r="R49" s="92">
        <f t="shared" si="11"/>
        <v>-111192.5</v>
      </c>
      <c r="S49" s="92">
        <f t="shared" si="11"/>
        <v>-156192.5</v>
      </c>
      <c r="T49" s="92">
        <f t="shared" si="11"/>
        <v>-111192.5</v>
      </c>
      <c r="U49" s="92">
        <f t="shared" si="11"/>
        <v>-111192.5</v>
      </c>
      <c r="V49" s="92">
        <f t="shared" si="11"/>
        <v>-111192.5</v>
      </c>
      <c r="X49" s="16" t="s">
        <v>99</v>
      </c>
      <c r="Y49" s="41">
        <f>N$19</f>
        <v>-225301.53967562434</v>
      </c>
      <c r="Z49">
        <v>0.2567</v>
      </c>
      <c r="AA49">
        <f t="shared" si="10"/>
        <v>-57834.90523473277</v>
      </c>
    </row>
    <row r="50" spans="1:27" ht="15.75">
      <c r="A50" s="124"/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X50" s="16" t="s">
        <v>100</v>
      </c>
      <c r="Y50" s="41">
        <f>O$19</f>
        <v>-165362.92418229874</v>
      </c>
      <c r="Z50">
        <v>0.2292</v>
      </c>
      <c r="AA50">
        <f t="shared" si="10"/>
        <v>-37901.182222582866</v>
      </c>
    </row>
    <row r="51" spans="1:27" ht="15.75">
      <c r="A51" s="78" t="s">
        <v>10</v>
      </c>
      <c r="B51" s="90"/>
      <c r="C51" s="90"/>
      <c r="D51" s="90"/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X51" s="16" t="s">
        <v>101</v>
      </c>
      <c r="Y51" s="41">
        <f>P$19</f>
        <v>-170489.17483195</v>
      </c>
      <c r="Z51">
        <v>0.2046</v>
      </c>
      <c r="AA51">
        <f t="shared" si="10"/>
        <v>-34882.08517061697</v>
      </c>
    </row>
    <row r="52" spans="1:27" ht="15.75">
      <c r="A52" s="120" t="s">
        <v>68</v>
      </c>
      <c r="B52" s="73">
        <f>'Component Cost - Option 2'!C13</f>
        <v>-17700</v>
      </c>
      <c r="C52" s="73">
        <f>'Component Cost - Option 2'!D13</f>
        <v>0</v>
      </c>
      <c r="D52" s="73">
        <f>'Component Cost - Option 2'!E13</f>
        <v>0</v>
      </c>
      <c r="E52" s="73">
        <f>'Component Cost - Option 2'!F13</f>
        <v>0</v>
      </c>
      <c r="F52" s="73">
        <f>'Component Cost - Option 2'!G13</f>
        <v>0</v>
      </c>
      <c r="G52" s="73">
        <f>'Component Cost - Option 2'!H13</f>
        <v>0</v>
      </c>
      <c r="H52" s="73">
        <f>'Component Cost - Option 2'!I13</f>
        <v>0</v>
      </c>
      <c r="I52" s="73">
        <f>'Component Cost - Option 2'!J13</f>
        <v>0</v>
      </c>
      <c r="J52" s="73">
        <f>'Component Cost - Option 2'!K13</f>
        <v>0</v>
      </c>
      <c r="K52" s="73">
        <f>'Component Cost - Option 2'!L13</f>
        <v>0</v>
      </c>
      <c r="L52" s="95">
        <f>'Component Cost - Option 2'!M13</f>
        <v>0</v>
      </c>
      <c r="M52" s="73">
        <f>'Component Cost - Option 2'!N13</f>
        <v>0</v>
      </c>
      <c r="N52" s="73">
        <f>'Component Cost - Option 2'!O13</f>
        <v>0</v>
      </c>
      <c r="O52" s="73">
        <f>'Component Cost - Option 2'!P13</f>
        <v>-4425</v>
      </c>
      <c r="P52" s="73">
        <f>'Component Cost - Option 2'!Q13</f>
        <v>0</v>
      </c>
      <c r="Q52" s="73">
        <f>'Component Cost - Option 2'!R13</f>
        <v>0</v>
      </c>
      <c r="R52" s="73">
        <f>'Component Cost - Option 2'!S13</f>
        <v>0</v>
      </c>
      <c r="S52" s="73">
        <f>'Component Cost - Option 2'!T13</f>
        <v>0</v>
      </c>
      <c r="T52" s="73">
        <f>'Component Cost - Option 2'!U13</f>
        <v>0</v>
      </c>
      <c r="U52" s="73">
        <f>'Component Cost - Option 2'!V13</f>
        <v>0</v>
      </c>
      <c r="V52" s="73">
        <f>'Component Cost - Option 2'!W13</f>
        <v>0</v>
      </c>
      <c r="X52" s="16" t="s">
        <v>102</v>
      </c>
      <c r="Y52" s="41">
        <f>Q$19</f>
        <v>-175774.33925174043</v>
      </c>
      <c r="Z52">
        <v>0.1827</v>
      </c>
      <c r="AA52">
        <f t="shared" si="10"/>
        <v>-32113.971781292978</v>
      </c>
    </row>
    <row r="53" spans="1:27" ht="15.75">
      <c r="A53" s="121" t="s">
        <v>69</v>
      </c>
      <c r="B53" s="79">
        <f>'Component Cost - Option 2'!C24</f>
        <v>0</v>
      </c>
      <c r="C53" s="79">
        <f>'Component Cost - Option 2'!D24</f>
        <v>-144950</v>
      </c>
      <c r="D53" s="79">
        <f>'Component Cost - Option 2'!E24</f>
        <v>0</v>
      </c>
      <c r="E53" s="79">
        <f>'Component Cost - Option 2'!F24</f>
        <v>0</v>
      </c>
      <c r="F53" s="79">
        <f>'Component Cost - Option 2'!G24</f>
        <v>0</v>
      </c>
      <c r="G53" s="79">
        <f>'Component Cost - Option 2'!H24</f>
        <v>0</v>
      </c>
      <c r="H53" s="79">
        <f>'Component Cost - Option 2'!I24</f>
        <v>0</v>
      </c>
      <c r="I53" s="79">
        <f>'Component Cost - Option 2'!J24</f>
        <v>0</v>
      </c>
      <c r="J53" s="79">
        <f>'Component Cost - Option 2'!K24</f>
        <v>0</v>
      </c>
      <c r="K53" s="79">
        <f>'Component Cost - Option 2'!L24</f>
        <v>0</v>
      </c>
      <c r="L53" s="88">
        <f>'Component Cost - Option 2'!M24</f>
        <v>0</v>
      </c>
      <c r="M53" s="79">
        <f>'Component Cost - Option 2'!N24</f>
        <v>0</v>
      </c>
      <c r="N53" s="79">
        <f>'Component Cost - Option 2'!O24</f>
        <v>0</v>
      </c>
      <c r="O53" s="79">
        <f>'Component Cost - Option 2'!P24</f>
        <v>0</v>
      </c>
      <c r="P53" s="79">
        <f>'Component Cost - Option 2'!Q24</f>
        <v>-36237.5</v>
      </c>
      <c r="Q53" s="79">
        <f>'Component Cost - Option 2'!R24</f>
        <v>0</v>
      </c>
      <c r="R53" s="79">
        <f>'Component Cost - Option 2'!S24</f>
        <v>0</v>
      </c>
      <c r="S53" s="79">
        <f>'Component Cost - Option 2'!T24</f>
        <v>0</v>
      </c>
      <c r="T53" s="79">
        <f>'Component Cost - Option 2'!U24</f>
        <v>0</v>
      </c>
      <c r="U53" s="79">
        <f>'Component Cost - Option 2'!V24</f>
        <v>0</v>
      </c>
      <c r="V53" s="79">
        <f>'Component Cost - Option 2'!W24</f>
        <v>0</v>
      </c>
      <c r="X53" s="16" t="s">
        <v>103</v>
      </c>
      <c r="Y53" s="41">
        <f>R$19</f>
        <v>-181223.34376854438</v>
      </c>
      <c r="Z53">
        <v>0.1631</v>
      </c>
      <c r="AA53">
        <f t="shared" si="10"/>
        <v>-29557.527368649586</v>
      </c>
    </row>
    <row r="54" spans="1:27" ht="15.75">
      <c r="A54" s="121" t="s">
        <v>70</v>
      </c>
      <c r="B54" s="79">
        <f>'Component Cost - Option 2'!C32</f>
        <v>0</v>
      </c>
      <c r="C54" s="79">
        <f>'Component Cost - Option 2'!D32</f>
        <v>0</v>
      </c>
      <c r="D54" s="79">
        <f>'Component Cost - Option 2'!E32</f>
        <v>-2183000</v>
      </c>
      <c r="E54" s="79">
        <f>'Component Cost - Option 2'!F32</f>
        <v>0</v>
      </c>
      <c r="F54" s="79">
        <f>'Component Cost - Option 2'!G32</f>
        <v>0</v>
      </c>
      <c r="G54" s="79">
        <f>'Component Cost - Option 2'!H32</f>
        <v>0</v>
      </c>
      <c r="H54" s="79">
        <f>'Component Cost - Option 2'!I32</f>
        <v>0</v>
      </c>
      <c r="I54" s="79">
        <f>'Component Cost - Option 2'!J32</f>
        <v>0</v>
      </c>
      <c r="J54" s="79">
        <f>'Component Cost - Option 2'!K32</f>
        <v>0</v>
      </c>
      <c r="K54" s="79">
        <f>'Component Cost - Option 2'!L32</f>
        <v>0</v>
      </c>
      <c r="L54" s="88">
        <f>'Component Cost - Option 2'!M32</f>
        <v>0</v>
      </c>
      <c r="M54" s="79">
        <f>'Component Cost - Option 2'!N32</f>
        <v>0</v>
      </c>
      <c r="N54" s="79">
        <f>'Component Cost - Option 2'!O32</f>
        <v>0</v>
      </c>
      <c r="O54" s="79">
        <f>'Component Cost - Option 2'!P32</f>
        <v>0</v>
      </c>
      <c r="P54" s="79">
        <f>'Component Cost - Option 2'!Q32</f>
        <v>0</v>
      </c>
      <c r="Q54" s="79">
        <f>'Component Cost - Option 2'!R32</f>
        <v>-545750</v>
      </c>
      <c r="R54" s="79">
        <f>'Component Cost - Option 2'!S32</f>
        <v>0</v>
      </c>
      <c r="S54" s="79">
        <f>'Component Cost - Option 2'!T32</f>
        <v>0</v>
      </c>
      <c r="T54" s="79">
        <f>'Component Cost - Option 2'!U32</f>
        <v>0</v>
      </c>
      <c r="U54" s="79">
        <f>'Component Cost - Option 2'!V32</f>
        <v>0</v>
      </c>
      <c r="V54" s="79">
        <f>'Component Cost - Option 2'!W32</f>
        <v>0</v>
      </c>
      <c r="X54" s="16" t="s">
        <v>104</v>
      </c>
      <c r="Y54" s="41">
        <f>S$19</f>
        <v>-262456.5925070215</v>
      </c>
      <c r="Z54">
        <v>0.1456</v>
      </c>
      <c r="AA54">
        <f t="shared" si="10"/>
        <v>-38213.67986902233</v>
      </c>
    </row>
    <row r="55" spans="1:27" ht="15.75">
      <c r="A55" s="121" t="s">
        <v>34</v>
      </c>
      <c r="B55" s="79">
        <f>'Component Cost - Option 2'!C42</f>
        <v>0</v>
      </c>
      <c r="C55" s="79">
        <f>'Component Cost - Option 2'!D42</f>
        <v>0</v>
      </c>
      <c r="D55" s="79">
        <f>'Component Cost - Option 2'!E42</f>
        <v>0</v>
      </c>
      <c r="E55" s="79">
        <f>'Component Cost - Option 2'!F42</f>
        <v>-42750</v>
      </c>
      <c r="F55" s="79">
        <f>'Component Cost - Option 2'!G42</f>
        <v>-42750</v>
      </c>
      <c r="G55" s="79">
        <f>'Component Cost - Option 2'!H42</f>
        <v>-42750</v>
      </c>
      <c r="H55" s="79">
        <f>'Component Cost - Option 2'!I42</f>
        <v>-42750</v>
      </c>
      <c r="I55" s="79">
        <f>'Component Cost - Option 2'!J42</f>
        <v>-57750</v>
      </c>
      <c r="J55" s="79">
        <f>'Component Cost - Option 2'!K42</f>
        <v>-42750</v>
      </c>
      <c r="K55" s="79">
        <f>'Component Cost - Option 2'!L42</f>
        <v>-42750</v>
      </c>
      <c r="L55" s="88">
        <f>'Component Cost - Option 2'!M42</f>
        <v>-42750</v>
      </c>
      <c r="M55" s="79">
        <f>'Component Cost - Option 2'!N42</f>
        <v>-42750</v>
      </c>
      <c r="N55" s="79">
        <f>'Component Cost - Option 2'!O42</f>
        <v>-57750</v>
      </c>
      <c r="O55" s="79">
        <f>'Component Cost - Option 2'!P42</f>
        <v>-42750</v>
      </c>
      <c r="P55" s="79">
        <f>'Component Cost - Option 2'!Q42</f>
        <v>-42750</v>
      </c>
      <c r="Q55" s="79">
        <f>'Component Cost - Option 2'!R42</f>
        <v>-42750</v>
      </c>
      <c r="R55" s="79">
        <f>'Component Cost - Option 2'!S42</f>
        <v>-42750</v>
      </c>
      <c r="S55" s="79">
        <f>'Component Cost - Option 2'!T42</f>
        <v>-57750</v>
      </c>
      <c r="T55" s="79">
        <f>'Component Cost - Option 2'!U42</f>
        <v>-42750</v>
      </c>
      <c r="U55" s="79">
        <f>'Component Cost - Option 2'!V42</f>
        <v>-42750</v>
      </c>
      <c r="V55" s="79">
        <f>'Component Cost - Option 2'!W42</f>
        <v>-42750</v>
      </c>
      <c r="X55" s="16" t="s">
        <v>105</v>
      </c>
      <c r="Y55" s="41">
        <f>T$19</f>
        <v>-192633.34671555567</v>
      </c>
      <c r="Z55">
        <v>0.13</v>
      </c>
      <c r="AA55">
        <f t="shared" si="10"/>
        <v>-25042.335073022237</v>
      </c>
    </row>
    <row r="56" spans="1:27" ht="15.75">
      <c r="A56" s="121" t="s">
        <v>73</v>
      </c>
      <c r="B56" s="79">
        <f>'Component Cost - Option 2'!C50</f>
        <v>0</v>
      </c>
      <c r="C56" s="79">
        <f>'Component Cost - Option 2'!D50</f>
        <v>0</v>
      </c>
      <c r="D56" s="79">
        <f>'Component Cost - Option 2'!E52</f>
        <v>0</v>
      </c>
      <c r="E56" s="79">
        <f>'Component Cost - Option 2'!F52</f>
        <v>-353555</v>
      </c>
      <c r="F56" s="79">
        <f>'Component Cost - Option 2'!G52</f>
        <v>-303930</v>
      </c>
      <c r="G56" s="79">
        <f>'Component Cost - Option 2'!H52</f>
        <v>-303930</v>
      </c>
      <c r="H56" s="79">
        <f>'Component Cost - Option 2'!I52</f>
        <v>-303930</v>
      </c>
      <c r="I56" s="79">
        <f>'Component Cost - Option 2'!J52</f>
        <v>-303930</v>
      </c>
      <c r="J56" s="79">
        <f>'Component Cost - Option 2'!K52</f>
        <v>-303930</v>
      </c>
      <c r="K56" s="79">
        <f>'Component Cost - Option 2'!L52</f>
        <v>-303930</v>
      </c>
      <c r="L56" s="88">
        <f>'Component Cost - Option 2'!M52</f>
        <v>-303930</v>
      </c>
      <c r="M56" s="79">
        <f>'Component Cost - Option 2'!N52</f>
        <v>-303930</v>
      </c>
      <c r="N56" s="79">
        <f>'Component Cost - Option 2'!O52</f>
        <v>-303930</v>
      </c>
      <c r="O56" s="79">
        <f>'Component Cost - Option 2'!P52</f>
        <v>-303930</v>
      </c>
      <c r="P56" s="79">
        <f>'Component Cost - Option 2'!Q52</f>
        <v>-303930</v>
      </c>
      <c r="Q56" s="79">
        <f>'Component Cost - Option 2'!R52</f>
        <v>-374877.5</v>
      </c>
      <c r="R56" s="79">
        <f>'Component Cost - Option 2'!S52</f>
        <v>-374877.5</v>
      </c>
      <c r="S56" s="79">
        <f>'Component Cost - Option 2'!T52</f>
        <v>-374877.5</v>
      </c>
      <c r="T56" s="79">
        <f>'Component Cost - Option 2'!U52</f>
        <v>-374877.5</v>
      </c>
      <c r="U56" s="79">
        <f>'Component Cost - Option 2'!V52</f>
        <v>-374877.5</v>
      </c>
      <c r="V56" s="79">
        <f>'Component Cost - Option 2'!W52</f>
        <v>-374877.5</v>
      </c>
      <c r="X56" s="16" t="s">
        <v>106</v>
      </c>
      <c r="Y56" s="41">
        <f>U$19</f>
        <v>-198604.98046373785</v>
      </c>
      <c r="Z56">
        <v>0.1161</v>
      </c>
      <c r="AA56">
        <f t="shared" si="10"/>
        <v>-23058.038231839964</v>
      </c>
    </row>
    <row r="57" spans="1:28" ht="15.75">
      <c r="A57" s="122" t="s">
        <v>74</v>
      </c>
      <c r="B57" s="75">
        <f>'Component Cost - Option 2'!C57</f>
        <v>0</v>
      </c>
      <c r="C57" s="75">
        <f>'Component Cost - Option 2'!D57</f>
        <v>0</v>
      </c>
      <c r="D57" s="75">
        <f>'Component Cost - Option 2'!E57</f>
        <v>0</v>
      </c>
      <c r="E57" s="75">
        <f>'Component Cost - Option 2'!F57</f>
        <v>260000</v>
      </c>
      <c r="F57" s="75">
        <f>'Component Cost - Option 2'!G57</f>
        <v>260000</v>
      </c>
      <c r="G57" s="75">
        <f>'Component Cost - Option 2'!H57</f>
        <v>260000</v>
      </c>
      <c r="H57" s="75">
        <f>'Component Cost - Option 2'!I57</f>
        <v>260000</v>
      </c>
      <c r="I57" s="75">
        <f>'Component Cost - Option 2'!J57</f>
        <v>230000</v>
      </c>
      <c r="J57" s="75">
        <f>'Component Cost - Option 2'!K57</f>
        <v>260000</v>
      </c>
      <c r="K57" s="75">
        <f>'Component Cost - Option 2'!L57</f>
        <v>260000</v>
      </c>
      <c r="L57" s="96">
        <f>'Component Cost - Option 2'!M57</f>
        <v>260000</v>
      </c>
      <c r="M57" s="75">
        <f>'Component Cost - Option 2'!N57</f>
        <v>260000</v>
      </c>
      <c r="N57" s="75">
        <f>'Component Cost - Option 2'!O57</f>
        <v>230000</v>
      </c>
      <c r="O57" s="75">
        <f>'Component Cost - Option 2'!P57</f>
        <v>260000</v>
      </c>
      <c r="P57" s="75">
        <f>'Component Cost - Option 2'!Q57</f>
        <v>260000</v>
      </c>
      <c r="Q57" s="75">
        <f>'Component Cost - Option 2'!R57</f>
        <v>100000</v>
      </c>
      <c r="R57" s="75">
        <f>'Component Cost - Option 2'!S57</f>
        <v>300000</v>
      </c>
      <c r="S57" s="75">
        <f>'Component Cost - Option 2'!T57</f>
        <v>270000</v>
      </c>
      <c r="T57" s="75">
        <f>'Component Cost - Option 2'!U57</f>
        <v>300000</v>
      </c>
      <c r="U57" s="75">
        <f>'Component Cost - Option 2'!V57</f>
        <v>300000</v>
      </c>
      <c r="V57" s="75">
        <f>'Component Cost - Option 2'!W57</f>
        <v>300000</v>
      </c>
      <c r="W57" s="58">
        <f>'Component Cost - Option 2'!X57</f>
        <v>4630000</v>
      </c>
      <c r="X57" s="63">
        <f>'Component Cost - Option 2'!Y57</f>
        <v>0</v>
      </c>
      <c r="Y57" s="63">
        <f>'Component Cost - Option 2'!Z57</f>
        <v>0</v>
      </c>
      <c r="Z57" s="63">
        <f>'Component Cost - Option 2'!AA57</f>
        <v>0</v>
      </c>
      <c r="AA57" s="63">
        <f>'Component Cost - Option 2'!AB57</f>
        <v>0</v>
      </c>
      <c r="AB57" s="63">
        <f>'Component Cost - Option 2'!AC57</f>
        <v>0</v>
      </c>
    </row>
    <row r="58" spans="1:28" ht="15.75">
      <c r="A58" s="123" t="s">
        <v>35</v>
      </c>
      <c r="B58" s="92">
        <f>SUM(B52:B57)</f>
        <v>-17700</v>
      </c>
      <c r="C58" s="92">
        <f aca="true" t="shared" si="12" ref="C58:AB58">SUM(C52:C57)</f>
        <v>-144950</v>
      </c>
      <c r="D58" s="92">
        <f t="shared" si="12"/>
        <v>-2183000</v>
      </c>
      <c r="E58" s="92">
        <f t="shared" si="12"/>
        <v>-136305</v>
      </c>
      <c r="F58" s="92">
        <f t="shared" si="12"/>
        <v>-86680</v>
      </c>
      <c r="G58" s="92">
        <f t="shared" si="12"/>
        <v>-86680</v>
      </c>
      <c r="H58" s="92">
        <f t="shared" si="12"/>
        <v>-86680</v>
      </c>
      <c r="I58" s="92">
        <f t="shared" si="12"/>
        <v>-131680</v>
      </c>
      <c r="J58" s="92">
        <f t="shared" si="12"/>
        <v>-86680</v>
      </c>
      <c r="K58" s="92">
        <f t="shared" si="12"/>
        <v>-86680</v>
      </c>
      <c r="L58" s="97">
        <f t="shared" si="12"/>
        <v>-86680</v>
      </c>
      <c r="M58" s="92">
        <f t="shared" si="12"/>
        <v>-86680</v>
      </c>
      <c r="N58" s="92">
        <f t="shared" si="12"/>
        <v>-131680</v>
      </c>
      <c r="O58" s="92">
        <f t="shared" si="12"/>
        <v>-91105</v>
      </c>
      <c r="P58" s="92">
        <f t="shared" si="12"/>
        <v>-122917.5</v>
      </c>
      <c r="Q58" s="92">
        <f t="shared" si="12"/>
        <v>-863377.5</v>
      </c>
      <c r="R58" s="92">
        <f t="shared" si="12"/>
        <v>-117627.5</v>
      </c>
      <c r="S58" s="92">
        <f t="shared" si="12"/>
        <v>-162627.5</v>
      </c>
      <c r="T58" s="92">
        <f t="shared" si="12"/>
        <v>-117627.5</v>
      </c>
      <c r="U58" s="92">
        <f t="shared" si="12"/>
        <v>-117627.5</v>
      </c>
      <c r="V58" s="92">
        <f t="shared" si="12"/>
        <v>-117627.5</v>
      </c>
      <c r="W58" s="94">
        <f t="shared" si="12"/>
        <v>4630000</v>
      </c>
      <c r="X58" s="61">
        <f t="shared" si="12"/>
        <v>0</v>
      </c>
      <c r="Y58" s="61">
        <f t="shared" si="12"/>
        <v>-1010692.6027065999</v>
      </c>
      <c r="Z58" s="61">
        <f t="shared" si="12"/>
        <v>0.7374999999999999</v>
      </c>
      <c r="AA58" s="61">
        <f t="shared" si="12"/>
        <v>-147985.5523238271</v>
      </c>
      <c r="AB58" s="61">
        <f t="shared" si="12"/>
        <v>0</v>
      </c>
    </row>
    <row r="59" spans="1:22" ht="15.75">
      <c r="A59" s="124"/>
      <c r="B59" s="77"/>
      <c r="C59" s="77"/>
      <c r="D59" s="77"/>
      <c r="E59" s="77"/>
      <c r="F59" s="77"/>
      <c r="G59" s="77"/>
      <c r="H59" s="77"/>
      <c r="I59" s="77"/>
      <c r="J59" s="77"/>
      <c r="K59" s="77"/>
      <c r="L59" s="77"/>
      <c r="M59" s="77"/>
      <c r="N59" s="77"/>
      <c r="O59" s="77"/>
      <c r="P59" s="77"/>
      <c r="Q59" s="77"/>
      <c r="R59" s="77"/>
      <c r="S59" s="77"/>
      <c r="T59" s="77"/>
      <c r="U59" s="77"/>
      <c r="V59" s="77"/>
    </row>
    <row r="60" spans="1:35" ht="15.75">
      <c r="A60" s="78" t="s">
        <v>12</v>
      </c>
      <c r="B60" s="77"/>
      <c r="C60" s="77"/>
      <c r="D60" s="77"/>
      <c r="E60" s="77"/>
      <c r="F60" s="77"/>
      <c r="G60" s="77"/>
      <c r="H60" s="77"/>
      <c r="I60" s="77"/>
      <c r="J60" s="77"/>
      <c r="K60" s="77"/>
      <c r="L60" s="77"/>
      <c r="M60" s="77"/>
      <c r="N60" s="77"/>
      <c r="O60" s="77"/>
      <c r="P60" s="77"/>
      <c r="Q60" s="77"/>
      <c r="R60" s="77"/>
      <c r="S60" s="77"/>
      <c r="T60" s="77"/>
      <c r="U60" s="77"/>
      <c r="V60" s="77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</row>
    <row r="61" spans="1:22" ht="15.75">
      <c r="A61" s="120" t="s">
        <v>68</v>
      </c>
      <c r="B61" s="73">
        <f>'Component Cost - Option 3'!C13</f>
        <v>-17700</v>
      </c>
      <c r="C61" s="73">
        <f>'Component Cost - Option 3'!D13</f>
        <v>0</v>
      </c>
      <c r="D61" s="73">
        <f>'Component Cost - Option 3'!E13</f>
        <v>0</v>
      </c>
      <c r="E61" s="73">
        <f>'Component Cost - Option 3'!F13</f>
        <v>0</v>
      </c>
      <c r="F61" s="73">
        <f>'Component Cost - Option 3'!G13</f>
        <v>0</v>
      </c>
      <c r="G61" s="73">
        <f>'Component Cost - Option 3'!H13</f>
        <v>-4425</v>
      </c>
      <c r="H61" s="73">
        <f>'Component Cost - Option 3'!I13</f>
        <v>0</v>
      </c>
      <c r="I61" s="73">
        <f>'Component Cost - Option 3'!J13</f>
        <v>0</v>
      </c>
      <c r="J61" s="73">
        <f>'Component Cost - Option 3'!K13</f>
        <v>0</v>
      </c>
      <c r="K61" s="72">
        <f>'Component Cost - Option 3'!L13</f>
        <v>0</v>
      </c>
      <c r="L61" s="73">
        <f>'Component Cost - Option 3'!M13</f>
        <v>0</v>
      </c>
      <c r="M61" s="73">
        <f>'Component Cost - Option 3'!N13</f>
        <v>0</v>
      </c>
      <c r="N61" s="73">
        <f>'Component Cost - Option 3'!O13</f>
        <v>0</v>
      </c>
      <c r="O61" s="73">
        <f>'Component Cost - Option 3'!P13</f>
        <v>0</v>
      </c>
      <c r="P61" s="73">
        <f>'Component Cost - Option 3'!Q13</f>
        <v>0</v>
      </c>
      <c r="Q61" s="73">
        <f>'Component Cost - Option 3'!R13</f>
        <v>-4425</v>
      </c>
      <c r="R61" s="73">
        <f>'Component Cost - Option 3'!S13</f>
        <v>0</v>
      </c>
      <c r="S61" s="73">
        <f>'Component Cost - Option 3'!T13</f>
        <v>0</v>
      </c>
      <c r="T61" s="73">
        <f>'Component Cost - Option 3'!U13</f>
        <v>0</v>
      </c>
      <c r="U61" s="73">
        <f>'Component Cost - Option 3'!V13</f>
        <v>0</v>
      </c>
      <c r="V61" s="73">
        <f>'Component Cost - Option 3'!W13</f>
        <v>0</v>
      </c>
    </row>
    <row r="62" spans="1:22" ht="15.75">
      <c r="A62" s="121" t="s">
        <v>69</v>
      </c>
      <c r="B62" s="79">
        <f>'Component Cost - Option 3'!C24</f>
        <v>0</v>
      </c>
      <c r="C62" s="79">
        <f>'Component Cost - Option 3'!D24</f>
        <v>-135050</v>
      </c>
      <c r="D62" s="79">
        <f>'Component Cost - Option 3'!E24</f>
        <v>0</v>
      </c>
      <c r="E62" s="79">
        <f>'Component Cost - Option 3'!F24</f>
        <v>0</v>
      </c>
      <c r="F62" s="79">
        <f>'Component Cost - Option 3'!G24</f>
        <v>0</v>
      </c>
      <c r="G62" s="79">
        <f>'Component Cost - Option 3'!H24</f>
        <v>0</v>
      </c>
      <c r="H62" s="79">
        <f>'Component Cost - Option 3'!I24</f>
        <v>-33762.5</v>
      </c>
      <c r="I62" s="79">
        <f>'Component Cost - Option 3'!J24</f>
        <v>0</v>
      </c>
      <c r="J62" s="79">
        <f>'Component Cost - Option 3'!K24</f>
        <v>0</v>
      </c>
      <c r="K62" s="74">
        <f>'Component Cost - Option 3'!L24</f>
        <v>0</v>
      </c>
      <c r="L62" s="79">
        <f>'Component Cost - Option 3'!M24</f>
        <v>0</v>
      </c>
      <c r="M62" s="79">
        <f>'Component Cost - Option 3'!N24</f>
        <v>0</v>
      </c>
      <c r="N62" s="79">
        <f>'Component Cost - Option 3'!O24</f>
        <v>0</v>
      </c>
      <c r="O62" s="79">
        <f>'Component Cost - Option 3'!P24</f>
        <v>0</v>
      </c>
      <c r="P62" s="79">
        <f>'Component Cost - Option 3'!Q24</f>
        <v>0</v>
      </c>
      <c r="Q62" s="79">
        <f>'Component Cost - Option 3'!R24</f>
        <v>0</v>
      </c>
      <c r="R62" s="79">
        <f>'Component Cost - Option 3'!S24</f>
        <v>-33762.5</v>
      </c>
      <c r="S62" s="79">
        <f>'Component Cost - Option 3'!T24</f>
        <v>0</v>
      </c>
      <c r="T62" s="79">
        <f>'Component Cost - Option 3'!U24</f>
        <v>0</v>
      </c>
      <c r="U62" s="79">
        <f>'Component Cost - Option 3'!V24</f>
        <v>0</v>
      </c>
      <c r="V62" s="79">
        <f>'Component Cost - Option 3'!W24</f>
        <v>0</v>
      </c>
    </row>
    <row r="63" spans="1:22" ht="15.75">
      <c r="A63" s="121" t="s">
        <v>70</v>
      </c>
      <c r="B63" s="79">
        <f>'Component Cost - Option 3'!C32</f>
        <v>0</v>
      </c>
      <c r="C63" s="79">
        <f>'Component Cost - Option 3'!D32</f>
        <v>0</v>
      </c>
      <c r="D63" s="79">
        <f>'Component Cost - Option 3'!E32</f>
        <v>-1786500</v>
      </c>
      <c r="E63" s="79">
        <f>'Component Cost - Option 3'!F32</f>
        <v>0</v>
      </c>
      <c r="F63" s="79">
        <f>'Component Cost - Option 3'!G32</f>
        <v>0</v>
      </c>
      <c r="G63" s="79">
        <f>'Component Cost - Option 3'!H32</f>
        <v>0</v>
      </c>
      <c r="H63" s="79">
        <f>'Component Cost - Option 3'!I32</f>
        <v>0</v>
      </c>
      <c r="I63" s="79">
        <f>'Component Cost - Option 3'!J32</f>
        <v>-446625</v>
      </c>
      <c r="J63" s="79">
        <f>'Component Cost - Option 3'!K32</f>
        <v>0</v>
      </c>
      <c r="K63" s="74">
        <f>'Component Cost - Option 3'!L32</f>
        <v>0</v>
      </c>
      <c r="L63" s="79">
        <f>'Component Cost - Option 3'!M32</f>
        <v>0</v>
      </c>
      <c r="M63" s="79">
        <f>'Component Cost - Option 3'!N32</f>
        <v>0</v>
      </c>
      <c r="N63" s="79">
        <f>'Component Cost - Option 3'!O32</f>
        <v>0</v>
      </c>
      <c r="O63" s="79">
        <f>'Component Cost - Option 3'!P32</f>
        <v>0</v>
      </c>
      <c r="P63" s="79">
        <f>'Component Cost - Option 3'!Q32</f>
        <v>0</v>
      </c>
      <c r="Q63" s="79">
        <f>'Component Cost - Option 3'!R32</f>
        <v>0</v>
      </c>
      <c r="R63" s="79">
        <f>'Component Cost - Option 3'!S32</f>
        <v>0</v>
      </c>
      <c r="S63" s="79">
        <f>'Component Cost - Option 3'!T32</f>
        <v>-446625</v>
      </c>
      <c r="T63" s="79">
        <f>'Component Cost - Option 3'!U32</f>
        <v>0</v>
      </c>
      <c r="U63" s="79">
        <f>'Component Cost - Option 3'!V32</f>
        <v>0</v>
      </c>
      <c r="V63" s="79">
        <f>'Component Cost - Option 3'!W32</f>
        <v>0</v>
      </c>
    </row>
    <row r="64" spans="1:22" ht="15.75">
      <c r="A64" s="121" t="s">
        <v>34</v>
      </c>
      <c r="B64" s="79">
        <f>'Component Cost - Option 3'!C42</f>
        <v>0</v>
      </c>
      <c r="C64" s="79">
        <f>'Component Cost - Option 3'!D42</f>
        <v>0</v>
      </c>
      <c r="D64" s="79">
        <f>'Component Cost - Option 3'!E42</f>
        <v>0</v>
      </c>
      <c r="E64" s="79">
        <f>'Component Cost - Option 3'!F42</f>
        <v>-42750</v>
      </c>
      <c r="F64" s="79">
        <f>'Component Cost - Option 3'!G42</f>
        <v>-42750</v>
      </c>
      <c r="G64" s="79">
        <f>'Component Cost - Option 3'!H42</f>
        <v>-42750</v>
      </c>
      <c r="H64" s="79">
        <f>'Component Cost - Option 3'!I42</f>
        <v>-42750</v>
      </c>
      <c r="I64" s="79">
        <f>'Component Cost - Option 3'!J42</f>
        <v>-42750</v>
      </c>
      <c r="J64" s="79">
        <f>'Component Cost - Option 3'!K42</f>
        <v>-42750</v>
      </c>
      <c r="K64" s="74">
        <f>'Component Cost - Option 3'!L42</f>
        <v>-42750</v>
      </c>
      <c r="L64" s="79">
        <f>'Component Cost - Option 3'!M42</f>
        <v>-42750</v>
      </c>
      <c r="M64" s="79">
        <f>'Component Cost - Option 3'!N42</f>
        <v>-42750</v>
      </c>
      <c r="N64" s="79">
        <f>'Component Cost - Option 3'!O42</f>
        <v>-57750</v>
      </c>
      <c r="O64" s="79">
        <f>'Component Cost - Option 3'!P42</f>
        <v>-42750</v>
      </c>
      <c r="P64" s="79">
        <f>'Component Cost - Option 3'!Q42</f>
        <v>-42750</v>
      </c>
      <c r="Q64" s="79">
        <f>'Component Cost - Option 3'!R42</f>
        <v>-42750</v>
      </c>
      <c r="R64" s="79">
        <f>'Component Cost - Option 3'!S42</f>
        <v>-42750</v>
      </c>
      <c r="S64" s="79">
        <f>'Component Cost - Option 3'!T42</f>
        <v>-57750</v>
      </c>
      <c r="T64" s="79">
        <f>'Component Cost - Option 3'!U42</f>
        <v>-42750</v>
      </c>
      <c r="U64" s="79">
        <f>'Component Cost - Option 3'!V42</f>
        <v>-42750</v>
      </c>
      <c r="V64" s="79">
        <f>'Component Cost - Option 3'!W42</f>
        <v>-42750</v>
      </c>
    </row>
    <row r="65" spans="1:22" ht="15.75">
      <c r="A65" s="121" t="s">
        <v>73</v>
      </c>
      <c r="B65" s="79">
        <f>'Component Cost - Option 3'!C52</f>
        <v>0</v>
      </c>
      <c r="C65" s="79">
        <f>'Component Cost - Option 3'!D52</f>
        <v>0</v>
      </c>
      <c r="D65" s="79">
        <f>'Component Cost - Option 3'!E52</f>
        <v>0</v>
      </c>
      <c r="E65" s="79">
        <f>'Component Cost - Option 3'!F52</f>
        <v>-353555</v>
      </c>
      <c r="F65" s="79">
        <f>'Component Cost - Option 3'!G52</f>
        <v>-303930</v>
      </c>
      <c r="G65" s="79">
        <f>'Component Cost - Option 3'!H52</f>
        <v>-303930</v>
      </c>
      <c r="H65" s="79">
        <f>'Component Cost - Option 3'!I52</f>
        <v>-303930</v>
      </c>
      <c r="I65" s="79">
        <f>'Component Cost - Option 3'!J52</f>
        <v>-361991.25</v>
      </c>
      <c r="J65" s="79">
        <f>'Component Cost - Option 3'!K52</f>
        <v>-361991.25</v>
      </c>
      <c r="K65" s="74">
        <f>'Component Cost - Option 3'!L52</f>
        <v>-361991.25</v>
      </c>
      <c r="L65" s="79">
        <f>'Component Cost - Option 3'!M52</f>
        <v>-361991.25</v>
      </c>
      <c r="M65" s="79">
        <f>'Component Cost - Option 3'!N52</f>
        <v>-361991.25</v>
      </c>
      <c r="N65" s="79">
        <f>'Component Cost - Option 3'!O52</f>
        <v>-361991.25</v>
      </c>
      <c r="O65" s="79">
        <f>'Component Cost - Option 3'!P52</f>
        <v>-361991.25</v>
      </c>
      <c r="P65" s="79">
        <f>'Component Cost - Option 3'!Q52</f>
        <v>-361991.25</v>
      </c>
      <c r="Q65" s="79">
        <f>'Component Cost - Option 3'!R52</f>
        <v>-361991.25</v>
      </c>
      <c r="R65" s="79">
        <f>'Component Cost - Option 3'!S52</f>
        <v>-361991.25</v>
      </c>
      <c r="S65" s="79">
        <f>'Component Cost - Option 3'!T52</f>
        <v>-420052.5</v>
      </c>
      <c r="T65" s="79">
        <f>'Component Cost - Option 3'!U52</f>
        <v>-420052.5</v>
      </c>
      <c r="U65" s="79">
        <f>'Component Cost - Option 3'!V52</f>
        <v>-420052.5</v>
      </c>
      <c r="V65" s="79">
        <f>'Component Cost - Option 3'!W52</f>
        <v>-420052.5</v>
      </c>
    </row>
    <row r="66" spans="1:28" ht="15.75">
      <c r="A66" s="122" t="s">
        <v>74</v>
      </c>
      <c r="B66" s="75">
        <f>'Component Cost - Option 3'!C57</f>
        <v>0</v>
      </c>
      <c r="C66" s="75">
        <f>'Component Cost - Option 3'!D57</f>
        <v>0</v>
      </c>
      <c r="D66" s="75">
        <f>'Component Cost - Option 3'!E57</f>
        <v>0</v>
      </c>
      <c r="E66" s="75">
        <f>'Component Cost - Option 3'!F57</f>
        <v>260000</v>
      </c>
      <c r="F66" s="75">
        <f>'Component Cost - Option 3'!G57</f>
        <v>260000</v>
      </c>
      <c r="G66" s="75">
        <f>'Component Cost - Option 3'!H57</f>
        <v>260000</v>
      </c>
      <c r="H66" s="75">
        <f>'Component Cost - Option 3'!I57</f>
        <v>260000</v>
      </c>
      <c r="I66" s="75">
        <f>'Component Cost - Option 3'!J57</f>
        <v>100000</v>
      </c>
      <c r="J66" s="75">
        <f>'Component Cost - Option 3'!K57</f>
        <v>300000</v>
      </c>
      <c r="K66" s="93">
        <f>'Component Cost - Option 3'!L57</f>
        <v>300000</v>
      </c>
      <c r="L66" s="75">
        <f>'Component Cost - Option 3'!M57</f>
        <v>300000</v>
      </c>
      <c r="M66" s="75">
        <f>'Component Cost - Option 3'!N57</f>
        <v>300000</v>
      </c>
      <c r="N66" s="75">
        <f>'Component Cost - Option 3'!O57</f>
        <v>270000</v>
      </c>
      <c r="O66" s="75">
        <f>'Component Cost - Option 3'!P57</f>
        <v>300000</v>
      </c>
      <c r="P66" s="75">
        <f>'Component Cost - Option 3'!Q57</f>
        <v>300000</v>
      </c>
      <c r="Q66" s="75">
        <f>'Component Cost - Option 3'!R57</f>
        <v>300000</v>
      </c>
      <c r="R66" s="75">
        <f>'Component Cost - Option 3'!S57</f>
        <v>300000</v>
      </c>
      <c r="S66" s="75">
        <f>'Component Cost - Option 3'!T57</f>
        <v>270000</v>
      </c>
      <c r="T66" s="75">
        <f>'Component Cost - Option 3'!U57</f>
        <v>300000</v>
      </c>
      <c r="U66" s="75">
        <f>'Component Cost - Option 3'!V57</f>
        <v>300000</v>
      </c>
      <c r="V66" s="75">
        <f>'Component Cost - Option 3'!W57</f>
        <v>300000</v>
      </c>
      <c r="W66" s="58">
        <f>'Component Cost - Option 3'!X57</f>
        <v>4980000</v>
      </c>
      <c r="X66" s="63">
        <f>'Component Cost - Option 3'!Y57</f>
        <v>-10273842.5</v>
      </c>
      <c r="Y66" s="63">
        <f>'Component Cost - Option 3'!Z57</f>
        <v>0</v>
      </c>
      <c r="Z66" s="63">
        <f>'Component Cost - Option 3'!AA57</f>
        <v>0</v>
      </c>
      <c r="AA66" s="63">
        <f>'Component Cost - Option 3'!AB57</f>
        <v>0</v>
      </c>
      <c r="AB66" s="63">
        <f>'Component Cost - Option 3'!AC57</f>
        <v>0</v>
      </c>
    </row>
    <row r="67" spans="1:28" ht="15.75">
      <c r="A67" s="123" t="s">
        <v>35</v>
      </c>
      <c r="B67" s="92">
        <f>SUM(B61:B66)</f>
        <v>-17700</v>
      </c>
      <c r="C67" s="92">
        <f aca="true" t="shared" si="13" ref="C67:AB67">SUM(C61:C66)</f>
        <v>-135050</v>
      </c>
      <c r="D67" s="92">
        <f t="shared" si="13"/>
        <v>-1786500</v>
      </c>
      <c r="E67" s="92">
        <f t="shared" si="13"/>
        <v>-136305</v>
      </c>
      <c r="F67" s="92">
        <f t="shared" si="13"/>
        <v>-86680</v>
      </c>
      <c r="G67" s="92">
        <f t="shared" si="13"/>
        <v>-91105</v>
      </c>
      <c r="H67" s="92">
        <f t="shared" si="13"/>
        <v>-120442.5</v>
      </c>
      <c r="I67" s="92">
        <f t="shared" si="13"/>
        <v>-751366.25</v>
      </c>
      <c r="J67" s="92">
        <f t="shared" si="13"/>
        <v>-104741.25</v>
      </c>
      <c r="K67" s="76">
        <f t="shared" si="13"/>
        <v>-104741.25</v>
      </c>
      <c r="L67" s="92">
        <f t="shared" si="13"/>
        <v>-104741.25</v>
      </c>
      <c r="M67" s="92">
        <f t="shared" si="13"/>
        <v>-104741.25</v>
      </c>
      <c r="N67" s="92">
        <f t="shared" si="13"/>
        <v>-149741.25</v>
      </c>
      <c r="O67" s="92">
        <f t="shared" si="13"/>
        <v>-104741.25</v>
      </c>
      <c r="P67" s="92">
        <f t="shared" si="13"/>
        <v>-104741.25</v>
      </c>
      <c r="Q67" s="92">
        <f t="shared" si="13"/>
        <v>-109166.25</v>
      </c>
      <c r="R67" s="92">
        <f t="shared" si="13"/>
        <v>-138503.75</v>
      </c>
      <c r="S67" s="92">
        <f t="shared" si="13"/>
        <v>-654427.5</v>
      </c>
      <c r="T67" s="92">
        <f t="shared" si="13"/>
        <v>-162802.5</v>
      </c>
      <c r="U67" s="92">
        <f t="shared" si="13"/>
        <v>-162802.5</v>
      </c>
      <c r="V67" s="92">
        <f t="shared" si="13"/>
        <v>-162802.5</v>
      </c>
      <c r="W67" s="94">
        <f t="shared" si="13"/>
        <v>4980000</v>
      </c>
      <c r="X67" s="61">
        <f t="shared" si="13"/>
        <v>-10273842.5</v>
      </c>
      <c r="Y67" s="61">
        <f t="shared" si="13"/>
        <v>0</v>
      </c>
      <c r="Z67" s="61">
        <f t="shared" si="13"/>
        <v>0</v>
      </c>
      <c r="AA67" s="61">
        <f t="shared" si="13"/>
        <v>0</v>
      </c>
      <c r="AB67" s="61">
        <f t="shared" si="13"/>
        <v>0</v>
      </c>
    </row>
    <row r="68" spans="1:22" ht="15.75">
      <c r="A68" s="125"/>
      <c r="B68" s="30"/>
      <c r="C68" s="30"/>
      <c r="D68" s="30"/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62"/>
    </row>
    <row r="73" ht="15" customHeight="1"/>
  </sheetData>
  <sheetProtection password="D899" sheet="1" objects="1" scenarios="1"/>
  <mergeCells count="4">
    <mergeCell ref="A2:B2"/>
    <mergeCell ref="D2:E2"/>
    <mergeCell ref="G2:H2"/>
    <mergeCell ref="J2:K2"/>
  </mergeCells>
  <printOptions horizontalCentered="1"/>
  <pageMargins left="0.1968503937007874" right="0.21" top="0.1968503937007874" bottom="0.1968503937007874" header="0.1968503937007874" footer="0.1968503937007874"/>
  <pageSetup fitToHeight="1" fitToWidth="1" horizontalDpi="600" verticalDpi="600" orientation="landscape" paperSize="8" scale="68" r:id="rId3"/>
  <headerFooter alignWithMargins="0">
    <oddFooter>&amp;R&amp;14 30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62"/>
  <sheetViews>
    <sheetView zoomScale="75" zoomScaleNormal="75" workbookViewId="0" topLeftCell="A31">
      <selection activeCell="X57" sqref="X57"/>
    </sheetView>
  </sheetViews>
  <sheetFormatPr defaultColWidth="9.00390625" defaultRowHeight="15.75"/>
  <cols>
    <col min="1" max="1" width="47.875" style="0" customWidth="1"/>
    <col min="2" max="2" width="10.50390625" style="0" customWidth="1"/>
    <col min="3" max="3" width="9.75390625" style="0" bestFit="1" customWidth="1"/>
    <col min="4" max="4" width="10.75390625" style="0" bestFit="1" customWidth="1"/>
    <col min="5" max="8" width="12.25390625" style="0" bestFit="1" customWidth="1"/>
    <col min="9" max="22" width="12.125" style="0" bestFit="1" customWidth="1"/>
    <col min="23" max="23" width="12.00390625" style="0" bestFit="1" customWidth="1"/>
    <col min="24" max="24" width="13.625" style="0" customWidth="1"/>
    <col min="25" max="25" width="18.00390625" style="0" customWidth="1"/>
  </cols>
  <sheetData>
    <row r="1" spans="1:23" ht="30">
      <c r="A1" s="145" t="s">
        <v>71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</row>
    <row r="2" spans="1:23" ht="23.25">
      <c r="A2" s="146" t="s">
        <v>38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</row>
    <row r="3" spans="1:13" ht="33" customHeight="1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</row>
    <row r="4" spans="1:23" s="38" customFormat="1" ht="30" customHeight="1">
      <c r="A4" s="37" t="s">
        <v>39</v>
      </c>
      <c r="B4" s="39" t="s">
        <v>80</v>
      </c>
      <c r="C4" s="39" t="s">
        <v>40</v>
      </c>
      <c r="D4" s="39" t="s">
        <v>14</v>
      </c>
      <c r="E4" s="39" t="s">
        <v>15</v>
      </c>
      <c r="F4" s="39" t="s">
        <v>16</v>
      </c>
      <c r="G4" s="39" t="s">
        <v>17</v>
      </c>
      <c r="H4" s="39" t="s">
        <v>18</v>
      </c>
      <c r="I4" s="39" t="s">
        <v>19</v>
      </c>
      <c r="J4" s="39" t="s">
        <v>20</v>
      </c>
      <c r="K4" s="39" t="s">
        <v>21</v>
      </c>
      <c r="L4" s="39" t="s">
        <v>22</v>
      </c>
      <c r="M4" s="39" t="s">
        <v>23</v>
      </c>
      <c r="N4" s="39" t="s">
        <v>24</v>
      </c>
      <c r="O4" s="39" t="s">
        <v>25</v>
      </c>
      <c r="P4" s="39" t="s">
        <v>26</v>
      </c>
      <c r="Q4" s="39" t="s">
        <v>27</v>
      </c>
      <c r="R4" s="39" t="s">
        <v>28</v>
      </c>
      <c r="S4" s="39" t="s">
        <v>29</v>
      </c>
      <c r="T4" s="39" t="s">
        <v>30</v>
      </c>
      <c r="U4" s="39" t="s">
        <v>31</v>
      </c>
      <c r="V4" s="39" t="s">
        <v>32</v>
      </c>
      <c r="W4" s="39" t="s">
        <v>33</v>
      </c>
    </row>
    <row r="5" spans="1:23" ht="15.75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</row>
    <row r="6" spans="1:23" ht="18.75">
      <c r="A6" s="40" t="s">
        <v>41</v>
      </c>
      <c r="B6" s="31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</row>
    <row r="7" spans="1:23" ht="15.75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</row>
    <row r="8" spans="1:23" ht="15.75">
      <c r="A8" s="35" t="s">
        <v>42</v>
      </c>
      <c r="B8" s="32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</row>
    <row r="9" spans="1:23" ht="15.75">
      <c r="A9" s="23" t="s">
        <v>43</v>
      </c>
      <c r="B9" s="33" t="s">
        <v>81</v>
      </c>
      <c r="C9" s="27">
        <v>-500</v>
      </c>
      <c r="D9" s="27"/>
      <c r="E9" s="27"/>
      <c r="F9" s="27"/>
      <c r="G9" s="27"/>
      <c r="H9" s="27"/>
      <c r="I9" s="27"/>
      <c r="J9" s="27"/>
      <c r="K9" s="27">
        <f>$C$9*0.25</f>
        <v>-125</v>
      </c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</row>
    <row r="10" spans="1:23" ht="15.75">
      <c r="A10" s="23" t="s">
        <v>44</v>
      </c>
      <c r="B10" s="33" t="s">
        <v>81</v>
      </c>
      <c r="C10" s="27">
        <v>-7500</v>
      </c>
      <c r="D10" s="27"/>
      <c r="E10" s="27"/>
      <c r="F10" s="27"/>
      <c r="G10" s="27"/>
      <c r="H10" s="27"/>
      <c r="I10" s="27"/>
      <c r="J10" s="27"/>
      <c r="K10" s="27">
        <f>$C$10*0.25</f>
        <v>-1875</v>
      </c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</row>
    <row r="11" spans="1:23" ht="15.75">
      <c r="A11" s="23" t="s">
        <v>45</v>
      </c>
      <c r="B11" s="33" t="s">
        <v>81</v>
      </c>
      <c r="C11" s="27">
        <v>-1200</v>
      </c>
      <c r="D11" s="27"/>
      <c r="E11" s="27"/>
      <c r="F11" s="27"/>
      <c r="G11" s="27"/>
      <c r="H11" s="27"/>
      <c r="I11" s="27"/>
      <c r="J11" s="27"/>
      <c r="K11" s="27">
        <f>$C$11*0.25</f>
        <v>-300</v>
      </c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</row>
    <row r="12" spans="1:23" ht="15.75">
      <c r="A12" s="23" t="s">
        <v>46</v>
      </c>
      <c r="B12" s="33" t="s">
        <v>81</v>
      </c>
      <c r="C12" s="27">
        <v>-8500</v>
      </c>
      <c r="D12" s="27"/>
      <c r="E12" s="27"/>
      <c r="F12" s="27"/>
      <c r="G12" s="27"/>
      <c r="H12" s="27"/>
      <c r="I12" s="27"/>
      <c r="J12" s="27"/>
      <c r="K12" s="27">
        <f>$C12*0.25</f>
        <v>-2125</v>
      </c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</row>
    <row r="13" spans="1:24" ht="15.75">
      <c r="A13" s="36" t="s">
        <v>35</v>
      </c>
      <c r="B13" s="25"/>
      <c r="C13" s="24">
        <f aca="true" t="shared" si="0" ref="C13:W13">SUM(C9:C12)</f>
        <v>-17700</v>
      </c>
      <c r="D13" s="24">
        <f t="shared" si="0"/>
        <v>0</v>
      </c>
      <c r="E13" s="24">
        <f t="shared" si="0"/>
        <v>0</v>
      </c>
      <c r="F13" s="24">
        <f t="shared" si="0"/>
        <v>0</v>
      </c>
      <c r="G13" s="24">
        <f t="shared" si="0"/>
        <v>0</v>
      </c>
      <c r="H13" s="24">
        <f t="shared" si="0"/>
        <v>0</v>
      </c>
      <c r="I13" s="24">
        <f t="shared" si="0"/>
        <v>0</v>
      </c>
      <c r="J13" s="24">
        <f t="shared" si="0"/>
        <v>0</v>
      </c>
      <c r="K13" s="24">
        <f t="shared" si="0"/>
        <v>-4425</v>
      </c>
      <c r="L13" s="24">
        <f t="shared" si="0"/>
        <v>0</v>
      </c>
      <c r="M13" s="24">
        <f t="shared" si="0"/>
        <v>0</v>
      </c>
      <c r="N13" s="24">
        <f t="shared" si="0"/>
        <v>0</v>
      </c>
      <c r="O13" s="24">
        <f t="shared" si="0"/>
        <v>0</v>
      </c>
      <c r="P13" s="24">
        <f t="shared" si="0"/>
        <v>0</v>
      </c>
      <c r="Q13" s="24">
        <f t="shared" si="0"/>
        <v>0</v>
      </c>
      <c r="R13" s="24">
        <f t="shared" si="0"/>
        <v>0</v>
      </c>
      <c r="S13" s="24">
        <f t="shared" si="0"/>
        <v>0</v>
      </c>
      <c r="T13" s="24">
        <f t="shared" si="0"/>
        <v>0</v>
      </c>
      <c r="U13" s="24">
        <f t="shared" si="0"/>
        <v>0</v>
      </c>
      <c r="V13" s="24">
        <f t="shared" si="0"/>
        <v>0</v>
      </c>
      <c r="W13" s="24">
        <f t="shared" si="0"/>
        <v>0</v>
      </c>
      <c r="X13" s="49">
        <f>SUM(C13:W13)</f>
        <v>-22125</v>
      </c>
    </row>
    <row r="14" spans="1:23" ht="15.75">
      <c r="A14" s="35" t="s">
        <v>47</v>
      </c>
      <c r="B14" s="34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</row>
    <row r="15" spans="1:23" s="129" customFormat="1" ht="15.75">
      <c r="A15" s="126" t="s">
        <v>48</v>
      </c>
      <c r="B15" s="127" t="s">
        <v>82</v>
      </c>
      <c r="C15" s="128"/>
      <c r="D15" s="128">
        <v>-7500</v>
      </c>
      <c r="E15" s="128"/>
      <c r="F15" s="128"/>
      <c r="G15" s="128"/>
      <c r="H15" s="128"/>
      <c r="I15" s="128"/>
      <c r="J15" s="128"/>
      <c r="K15" s="128"/>
      <c r="L15" s="128">
        <f>$D15*0.25</f>
        <v>-1875</v>
      </c>
      <c r="M15" s="128"/>
      <c r="N15" s="128"/>
      <c r="O15" s="128"/>
      <c r="P15" s="128"/>
      <c r="Q15" s="128"/>
      <c r="R15" s="128"/>
      <c r="S15" s="128"/>
      <c r="T15" s="128"/>
      <c r="U15" s="128"/>
      <c r="V15" s="128"/>
      <c r="W15" s="128"/>
    </row>
    <row r="16" spans="1:23" s="129" customFormat="1" ht="15.75">
      <c r="A16" s="126" t="s">
        <v>83</v>
      </c>
      <c r="B16" s="127" t="s">
        <v>82</v>
      </c>
      <c r="C16" s="128"/>
      <c r="D16" s="128">
        <v>-2000</v>
      </c>
      <c r="E16" s="128"/>
      <c r="F16" s="128"/>
      <c r="G16" s="128"/>
      <c r="H16" s="128"/>
      <c r="I16" s="128"/>
      <c r="J16" s="128"/>
      <c r="K16" s="128"/>
      <c r="L16" s="128">
        <f aca="true" t="shared" si="1" ref="L16:L23">$D16*0.25</f>
        <v>-500</v>
      </c>
      <c r="M16" s="128"/>
      <c r="N16" s="128"/>
      <c r="O16" s="128"/>
      <c r="P16" s="128"/>
      <c r="Q16" s="128"/>
      <c r="R16" s="128"/>
      <c r="S16" s="128"/>
      <c r="T16" s="128"/>
      <c r="U16" s="128"/>
      <c r="V16" s="128"/>
      <c r="W16" s="128"/>
    </row>
    <row r="17" spans="1:23" s="129" customFormat="1" ht="15.75">
      <c r="A17" s="126" t="s">
        <v>79</v>
      </c>
      <c r="B17" s="127" t="s">
        <v>82</v>
      </c>
      <c r="C17" s="128"/>
      <c r="D17" s="128">
        <v>-25000</v>
      </c>
      <c r="E17" s="128"/>
      <c r="F17" s="128"/>
      <c r="G17" s="128"/>
      <c r="H17" s="128"/>
      <c r="I17" s="128"/>
      <c r="J17" s="128"/>
      <c r="K17" s="128"/>
      <c r="L17" s="128">
        <f t="shared" si="1"/>
        <v>-6250</v>
      </c>
      <c r="M17" s="128"/>
      <c r="N17" s="128"/>
      <c r="O17" s="128"/>
      <c r="P17" s="128"/>
      <c r="Q17" s="128"/>
      <c r="R17" s="128"/>
      <c r="S17" s="128"/>
      <c r="T17" s="128"/>
      <c r="U17" s="128"/>
      <c r="V17" s="128"/>
      <c r="W17" s="128"/>
    </row>
    <row r="18" spans="1:23" s="129" customFormat="1" ht="15.75">
      <c r="A18" s="126" t="s">
        <v>50</v>
      </c>
      <c r="B18" s="127" t="s">
        <v>82</v>
      </c>
      <c r="C18" s="128"/>
      <c r="D18" s="128">
        <v>-15000</v>
      </c>
      <c r="E18" s="128"/>
      <c r="F18" s="128"/>
      <c r="G18" s="128"/>
      <c r="H18" s="128"/>
      <c r="I18" s="128"/>
      <c r="J18" s="128"/>
      <c r="K18" s="128"/>
      <c r="L18" s="128">
        <f t="shared" si="1"/>
        <v>-3750</v>
      </c>
      <c r="M18" s="128"/>
      <c r="N18" s="128"/>
      <c r="O18" s="128"/>
      <c r="P18" s="128"/>
      <c r="Q18" s="128"/>
      <c r="R18" s="128"/>
      <c r="S18" s="128"/>
      <c r="T18" s="128"/>
      <c r="U18" s="128"/>
      <c r="V18" s="128"/>
      <c r="W18" s="128"/>
    </row>
    <row r="19" spans="1:23" ht="15.75">
      <c r="A19" s="23" t="s">
        <v>44</v>
      </c>
      <c r="B19" s="33" t="s">
        <v>81</v>
      </c>
      <c r="C19" s="27"/>
      <c r="D19" s="28">
        <v>-55000</v>
      </c>
      <c r="E19" s="27"/>
      <c r="F19" s="27"/>
      <c r="G19" s="27"/>
      <c r="H19" s="27"/>
      <c r="I19" s="27"/>
      <c r="J19" s="27"/>
      <c r="K19" s="27"/>
      <c r="L19" s="27">
        <f t="shared" si="1"/>
        <v>-13750</v>
      </c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</row>
    <row r="20" spans="1:23" ht="15.75">
      <c r="A20" s="23" t="s">
        <v>49</v>
      </c>
      <c r="B20" s="33" t="s">
        <v>81</v>
      </c>
      <c r="C20" s="27"/>
      <c r="D20" s="28">
        <v>-8000</v>
      </c>
      <c r="E20" s="27"/>
      <c r="F20" s="27"/>
      <c r="G20" s="27"/>
      <c r="H20" s="27"/>
      <c r="I20" s="27"/>
      <c r="J20" s="27"/>
      <c r="K20" s="27"/>
      <c r="L20" s="27">
        <f t="shared" si="1"/>
        <v>-2000</v>
      </c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</row>
    <row r="21" spans="1:23" ht="15.75">
      <c r="A21" s="26" t="s">
        <v>89</v>
      </c>
      <c r="B21" s="33" t="s">
        <v>81</v>
      </c>
      <c r="C21" s="27"/>
      <c r="D21" s="28">
        <v>-17000</v>
      </c>
      <c r="E21" s="27"/>
      <c r="F21" s="27"/>
      <c r="G21" s="27"/>
      <c r="H21" s="27"/>
      <c r="I21" s="27"/>
      <c r="J21" s="27"/>
      <c r="K21" s="27"/>
      <c r="L21" s="27">
        <f t="shared" si="1"/>
        <v>-4250</v>
      </c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</row>
    <row r="22" spans="1:23" ht="15.75">
      <c r="A22" s="23" t="s">
        <v>51</v>
      </c>
      <c r="B22" s="33" t="s">
        <v>81</v>
      </c>
      <c r="C22" s="27"/>
      <c r="D22" s="28">
        <v>-3000</v>
      </c>
      <c r="E22" s="27"/>
      <c r="F22" s="27"/>
      <c r="G22" s="27"/>
      <c r="H22" s="27"/>
      <c r="I22" s="27"/>
      <c r="J22" s="27"/>
      <c r="K22" s="27"/>
      <c r="L22" s="27">
        <f t="shared" si="1"/>
        <v>-750</v>
      </c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</row>
    <row r="23" spans="1:23" ht="15.75">
      <c r="A23" s="26" t="s">
        <v>72</v>
      </c>
      <c r="B23" s="33" t="s">
        <v>81</v>
      </c>
      <c r="C23" s="27"/>
      <c r="D23" s="28">
        <v>-7500</v>
      </c>
      <c r="E23" s="27"/>
      <c r="F23" s="27"/>
      <c r="G23" s="27"/>
      <c r="H23" s="27"/>
      <c r="I23" s="27"/>
      <c r="J23" s="27"/>
      <c r="K23" s="27"/>
      <c r="L23" s="27">
        <f t="shared" si="1"/>
        <v>-1875</v>
      </c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</row>
    <row r="24" spans="1:46" ht="15.75">
      <c r="A24" s="36" t="s">
        <v>35</v>
      </c>
      <c r="B24" s="25"/>
      <c r="C24" s="24">
        <f>SUM(C15:C23)</f>
        <v>0</v>
      </c>
      <c r="D24" s="24">
        <f aca="true" t="shared" si="2" ref="D24:W24">SUM(D15:D23)</f>
        <v>-140000</v>
      </c>
      <c r="E24" s="24">
        <f t="shared" si="2"/>
        <v>0</v>
      </c>
      <c r="F24" s="24">
        <f t="shared" si="2"/>
        <v>0</v>
      </c>
      <c r="G24" s="24">
        <f t="shared" si="2"/>
        <v>0</v>
      </c>
      <c r="H24" s="24">
        <f t="shared" si="2"/>
        <v>0</v>
      </c>
      <c r="I24" s="24">
        <f t="shared" si="2"/>
        <v>0</v>
      </c>
      <c r="J24" s="24">
        <f t="shared" si="2"/>
        <v>0</v>
      </c>
      <c r="K24" s="24">
        <f t="shared" si="2"/>
        <v>0</v>
      </c>
      <c r="L24" s="24">
        <f t="shared" si="2"/>
        <v>-35000</v>
      </c>
      <c r="M24" s="24">
        <f t="shared" si="2"/>
        <v>0</v>
      </c>
      <c r="N24" s="24">
        <f t="shared" si="2"/>
        <v>0</v>
      </c>
      <c r="O24" s="24">
        <f t="shared" si="2"/>
        <v>0</v>
      </c>
      <c r="P24" s="24">
        <f t="shared" si="2"/>
        <v>0</v>
      </c>
      <c r="Q24" s="24">
        <f t="shared" si="2"/>
        <v>0</v>
      </c>
      <c r="R24" s="24">
        <f t="shared" si="2"/>
        <v>0</v>
      </c>
      <c r="S24" s="24">
        <f t="shared" si="2"/>
        <v>0</v>
      </c>
      <c r="T24" s="24">
        <f t="shared" si="2"/>
        <v>0</v>
      </c>
      <c r="U24" s="24">
        <f t="shared" si="2"/>
        <v>0</v>
      </c>
      <c r="V24" s="24">
        <f t="shared" si="2"/>
        <v>0</v>
      </c>
      <c r="W24" s="24">
        <f t="shared" si="2"/>
        <v>0</v>
      </c>
      <c r="X24" s="24">
        <f>SUM(C24:W24)</f>
        <v>-175000</v>
      </c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</row>
    <row r="25" spans="1:23" ht="15.75">
      <c r="A25" s="35" t="s">
        <v>52</v>
      </c>
      <c r="B25" s="34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</row>
    <row r="26" spans="1:23" s="129" customFormat="1" ht="15.75">
      <c r="A26" s="126" t="s">
        <v>84</v>
      </c>
      <c r="B26" s="130" t="s">
        <v>82</v>
      </c>
      <c r="C26" s="128"/>
      <c r="D26" s="128"/>
      <c r="E26" s="128">
        <v>-250000</v>
      </c>
      <c r="F26" s="128"/>
      <c r="G26" s="128"/>
      <c r="H26" s="128"/>
      <c r="I26" s="128"/>
      <c r="J26" s="128"/>
      <c r="K26" s="128"/>
      <c r="L26" s="128"/>
      <c r="M26" s="128">
        <f aca="true" t="shared" si="3" ref="M26:M31">$E26*0.25</f>
        <v>-62500</v>
      </c>
      <c r="N26" s="128"/>
      <c r="O26" s="128"/>
      <c r="P26" s="128"/>
      <c r="Q26" s="128"/>
      <c r="R26" s="128"/>
      <c r="S26" s="128"/>
      <c r="T26" s="128"/>
      <c r="U26" s="128"/>
      <c r="V26" s="128"/>
      <c r="W26" s="128"/>
    </row>
    <row r="27" spans="1:23" s="129" customFormat="1" ht="15.75">
      <c r="A27" s="126" t="s">
        <v>53</v>
      </c>
      <c r="B27" s="130" t="s">
        <v>82</v>
      </c>
      <c r="C27" s="128"/>
      <c r="D27" s="128"/>
      <c r="E27" s="128">
        <v>-60000</v>
      </c>
      <c r="F27" s="128"/>
      <c r="G27" s="128"/>
      <c r="H27" s="128"/>
      <c r="I27" s="128"/>
      <c r="J27" s="128"/>
      <c r="K27" s="128"/>
      <c r="L27" s="128"/>
      <c r="M27" s="128">
        <f t="shared" si="3"/>
        <v>-15000</v>
      </c>
      <c r="N27" s="128"/>
      <c r="O27" s="128"/>
      <c r="P27" s="128"/>
      <c r="Q27" s="128"/>
      <c r="R27" s="128"/>
      <c r="S27" s="128"/>
      <c r="T27" s="128"/>
      <c r="U27" s="128"/>
      <c r="V27" s="128"/>
      <c r="W27" s="128"/>
    </row>
    <row r="28" spans="1:23" s="129" customFormat="1" ht="15.75">
      <c r="A28" s="126" t="s">
        <v>85</v>
      </c>
      <c r="B28" s="130" t="s">
        <v>82</v>
      </c>
      <c r="C28" s="128"/>
      <c r="D28" s="128"/>
      <c r="E28" s="128">
        <f>750*-2000</f>
        <v>-1500000</v>
      </c>
      <c r="F28" s="128"/>
      <c r="G28" s="128"/>
      <c r="H28" s="128"/>
      <c r="I28" s="128"/>
      <c r="J28" s="128"/>
      <c r="K28" s="128"/>
      <c r="L28" s="128"/>
      <c r="M28" s="128">
        <f t="shared" si="3"/>
        <v>-375000</v>
      </c>
      <c r="N28" s="128"/>
      <c r="O28" s="128"/>
      <c r="P28" s="128"/>
      <c r="Q28" s="128"/>
      <c r="R28" s="128"/>
      <c r="S28" s="128"/>
      <c r="T28" s="128"/>
      <c r="U28" s="128"/>
      <c r="V28" s="128"/>
      <c r="W28" s="128"/>
    </row>
    <row r="29" spans="1:23" s="129" customFormat="1" ht="15.75">
      <c r="A29" s="126" t="s">
        <v>54</v>
      </c>
      <c r="B29" s="130" t="s">
        <v>82</v>
      </c>
      <c r="C29" s="128"/>
      <c r="D29" s="128"/>
      <c r="E29" s="128">
        <f>-10000-45000</f>
        <v>-55000</v>
      </c>
      <c r="F29" s="128"/>
      <c r="G29" s="128"/>
      <c r="H29" s="128"/>
      <c r="I29" s="128"/>
      <c r="J29" s="128"/>
      <c r="K29" s="128"/>
      <c r="L29" s="128"/>
      <c r="M29" s="128">
        <f t="shared" si="3"/>
        <v>-13750</v>
      </c>
      <c r="N29" s="128"/>
      <c r="O29" s="128"/>
      <c r="P29" s="128"/>
      <c r="Q29" s="128"/>
      <c r="R29" s="128"/>
      <c r="S29" s="128"/>
      <c r="T29" s="128"/>
      <c r="U29" s="128"/>
      <c r="V29" s="128"/>
      <c r="W29" s="128"/>
    </row>
    <row r="30" spans="1:23" s="129" customFormat="1" ht="15.75">
      <c r="A30" s="126" t="s">
        <v>86</v>
      </c>
      <c r="B30" s="130" t="s">
        <v>82</v>
      </c>
      <c r="C30" s="128"/>
      <c r="D30" s="128"/>
      <c r="E30" s="128">
        <v>-45000</v>
      </c>
      <c r="F30" s="128"/>
      <c r="G30" s="128"/>
      <c r="H30" s="128"/>
      <c r="I30" s="128"/>
      <c r="J30" s="128"/>
      <c r="K30" s="128"/>
      <c r="L30" s="128"/>
      <c r="M30" s="128">
        <f t="shared" si="3"/>
        <v>-11250</v>
      </c>
      <c r="N30" s="128"/>
      <c r="O30" s="128"/>
      <c r="P30" s="128"/>
      <c r="Q30" s="128"/>
      <c r="R30" s="128"/>
      <c r="S30" s="128"/>
      <c r="T30" s="128"/>
      <c r="U30" s="128"/>
      <c r="V30" s="128"/>
      <c r="W30" s="128"/>
    </row>
    <row r="31" spans="1:23" s="129" customFormat="1" ht="15.75">
      <c r="A31" s="126" t="s">
        <v>88</v>
      </c>
      <c r="B31" s="130" t="s">
        <v>82</v>
      </c>
      <c r="C31" s="128"/>
      <c r="D31" s="128"/>
      <c r="E31" s="128">
        <v>-75000</v>
      </c>
      <c r="F31" s="128"/>
      <c r="G31" s="128"/>
      <c r="H31" s="128"/>
      <c r="I31" s="128"/>
      <c r="J31" s="128"/>
      <c r="K31" s="128"/>
      <c r="L31" s="128"/>
      <c r="M31" s="128">
        <f t="shared" si="3"/>
        <v>-18750</v>
      </c>
      <c r="N31" s="128"/>
      <c r="O31" s="128"/>
      <c r="P31" s="128"/>
      <c r="Q31" s="128"/>
      <c r="R31" s="128"/>
      <c r="S31" s="128"/>
      <c r="T31" s="128"/>
      <c r="U31" s="128"/>
      <c r="V31" s="128"/>
      <c r="W31" s="128"/>
    </row>
    <row r="32" spans="1:24" ht="15.75">
      <c r="A32" s="36" t="s">
        <v>35</v>
      </c>
      <c r="B32" s="25"/>
      <c r="C32" s="24">
        <f>SUM(C26:C31)</f>
        <v>0</v>
      </c>
      <c r="D32" s="24">
        <f aca="true" t="shared" si="4" ref="D32:W32">SUM(D26:D31)</f>
        <v>0</v>
      </c>
      <c r="E32" s="24">
        <f t="shared" si="4"/>
        <v>-1985000</v>
      </c>
      <c r="F32" s="24">
        <f t="shared" si="4"/>
        <v>0</v>
      </c>
      <c r="G32" s="24">
        <f t="shared" si="4"/>
        <v>0</v>
      </c>
      <c r="H32" s="24">
        <f t="shared" si="4"/>
        <v>0</v>
      </c>
      <c r="I32" s="24">
        <f t="shared" si="4"/>
        <v>0</v>
      </c>
      <c r="J32" s="24">
        <f t="shared" si="4"/>
        <v>0</v>
      </c>
      <c r="K32" s="24">
        <f t="shared" si="4"/>
        <v>0</v>
      </c>
      <c r="L32" s="24">
        <f t="shared" si="4"/>
        <v>0</v>
      </c>
      <c r="M32" s="24">
        <f t="shared" si="4"/>
        <v>-496250</v>
      </c>
      <c r="N32" s="24">
        <f t="shared" si="4"/>
        <v>0</v>
      </c>
      <c r="O32" s="24">
        <f t="shared" si="4"/>
        <v>0</v>
      </c>
      <c r="P32" s="24">
        <f t="shared" si="4"/>
        <v>0</v>
      </c>
      <c r="Q32" s="24">
        <f t="shared" si="4"/>
        <v>0</v>
      </c>
      <c r="R32" s="24">
        <f t="shared" si="4"/>
        <v>0</v>
      </c>
      <c r="S32" s="24">
        <f t="shared" si="4"/>
        <v>0</v>
      </c>
      <c r="T32" s="24">
        <f t="shared" si="4"/>
        <v>0</v>
      </c>
      <c r="U32" s="24">
        <f t="shared" si="4"/>
        <v>0</v>
      </c>
      <c r="V32" s="24">
        <f t="shared" si="4"/>
        <v>0</v>
      </c>
      <c r="W32" s="24">
        <f t="shared" si="4"/>
        <v>0</v>
      </c>
      <c r="X32" s="49">
        <f>SUM(C32:W32)</f>
        <v>-2481250</v>
      </c>
    </row>
    <row r="33" spans="1:23" ht="15.75">
      <c r="A33" s="35" t="s">
        <v>34</v>
      </c>
      <c r="B33" s="34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</row>
    <row r="34" spans="1:23" ht="15.75">
      <c r="A34" s="23" t="s">
        <v>56</v>
      </c>
      <c r="B34" s="33" t="s">
        <v>81</v>
      </c>
      <c r="C34" s="27"/>
      <c r="D34" s="27"/>
      <c r="E34" s="27"/>
      <c r="F34" s="27">
        <v>-2000</v>
      </c>
      <c r="G34" s="27">
        <v>-2000</v>
      </c>
      <c r="H34" s="27">
        <v>-2000</v>
      </c>
      <c r="I34" s="27">
        <v>-2000</v>
      </c>
      <c r="J34" s="27">
        <v>-2000</v>
      </c>
      <c r="K34" s="27">
        <v>-2000</v>
      </c>
      <c r="L34" s="27">
        <v>-2000</v>
      </c>
      <c r="M34" s="27">
        <v>-2000</v>
      </c>
      <c r="N34" s="27">
        <v>-2000</v>
      </c>
      <c r="O34" s="27">
        <v>-2000</v>
      </c>
      <c r="P34" s="27">
        <v>-2000</v>
      </c>
      <c r="Q34" s="27">
        <v>-2000</v>
      </c>
      <c r="R34" s="27">
        <v>-2000</v>
      </c>
      <c r="S34" s="27">
        <v>-2000</v>
      </c>
      <c r="T34" s="27">
        <v>-2000</v>
      </c>
      <c r="U34" s="27">
        <v>-2000</v>
      </c>
      <c r="V34" s="27">
        <v>-2000</v>
      </c>
      <c r="W34" s="27">
        <v>-2000</v>
      </c>
    </row>
    <row r="35" spans="1:23" ht="15.75">
      <c r="A35" s="23" t="s">
        <v>57</v>
      </c>
      <c r="B35" s="33" t="s">
        <v>81</v>
      </c>
      <c r="C35" s="27"/>
      <c r="D35" s="27"/>
      <c r="E35" s="27"/>
      <c r="F35" s="27">
        <v>-4000</v>
      </c>
      <c r="G35" s="27">
        <v>-4000</v>
      </c>
      <c r="H35" s="27">
        <v>-4000</v>
      </c>
      <c r="I35" s="27">
        <v>-4000</v>
      </c>
      <c r="J35" s="27">
        <v>-4000</v>
      </c>
      <c r="K35" s="27">
        <v>-4000</v>
      </c>
      <c r="L35" s="27">
        <v>-4000</v>
      </c>
      <c r="M35" s="27">
        <v>-4000</v>
      </c>
      <c r="N35" s="27">
        <v>-4000</v>
      </c>
      <c r="O35" s="27">
        <v>-4000</v>
      </c>
      <c r="P35" s="27">
        <v>-4000</v>
      </c>
      <c r="Q35" s="27">
        <v>-4000</v>
      </c>
      <c r="R35" s="27">
        <v>-4000</v>
      </c>
      <c r="S35" s="27">
        <v>-4000</v>
      </c>
      <c r="T35" s="27">
        <v>-4000</v>
      </c>
      <c r="U35" s="27">
        <v>-4000</v>
      </c>
      <c r="V35" s="27">
        <v>-4000</v>
      </c>
      <c r="W35" s="27">
        <v>-4000</v>
      </c>
    </row>
    <row r="36" spans="1:23" ht="15" customHeight="1">
      <c r="A36" s="23" t="s">
        <v>60</v>
      </c>
      <c r="B36" s="33" t="s">
        <v>81</v>
      </c>
      <c r="C36" s="27"/>
      <c r="D36" s="27"/>
      <c r="E36" s="27"/>
      <c r="F36" s="27">
        <v>-2500</v>
      </c>
      <c r="G36" s="27">
        <v>-2500</v>
      </c>
      <c r="H36" s="27">
        <v>-2500</v>
      </c>
      <c r="I36" s="27">
        <v>-2500</v>
      </c>
      <c r="J36" s="27">
        <v>-2500</v>
      </c>
      <c r="K36" s="27">
        <v>-2500</v>
      </c>
      <c r="L36" s="27">
        <v>-2500</v>
      </c>
      <c r="M36" s="27">
        <v>-2500</v>
      </c>
      <c r="N36" s="27">
        <v>-2500</v>
      </c>
      <c r="O36" s="27">
        <v>-2500</v>
      </c>
      <c r="P36" s="27">
        <v>-2500</v>
      </c>
      <c r="Q36" s="27">
        <v>-2500</v>
      </c>
      <c r="R36" s="27">
        <v>-2500</v>
      </c>
      <c r="S36" s="27">
        <v>-2500</v>
      </c>
      <c r="T36" s="27">
        <v>-2500</v>
      </c>
      <c r="U36" s="27">
        <v>-2500</v>
      </c>
      <c r="V36" s="27">
        <v>-2500</v>
      </c>
      <c r="W36" s="27">
        <v>-2500</v>
      </c>
    </row>
    <row r="37" spans="1:23" ht="15.75">
      <c r="A37" s="23" t="s">
        <v>61</v>
      </c>
      <c r="B37" s="33" t="s">
        <v>81</v>
      </c>
      <c r="C37" s="27"/>
      <c r="D37" s="27"/>
      <c r="E37" s="27"/>
      <c r="F37" s="27"/>
      <c r="G37" s="27"/>
      <c r="H37" s="27"/>
      <c r="I37" s="27"/>
      <c r="J37" s="27">
        <v>-15000</v>
      </c>
      <c r="K37" s="27"/>
      <c r="L37" s="27"/>
      <c r="M37" s="27"/>
      <c r="N37" s="27"/>
      <c r="O37" s="27">
        <v>-15000</v>
      </c>
      <c r="P37" s="27"/>
      <c r="Q37" s="27"/>
      <c r="R37" s="27"/>
      <c r="S37" s="27"/>
      <c r="T37" s="27">
        <v>-15000</v>
      </c>
      <c r="U37" s="27"/>
      <c r="V37" s="27"/>
      <c r="W37" s="27"/>
    </row>
    <row r="38" spans="1:23" ht="15.75">
      <c r="A38" s="23" t="s">
        <v>62</v>
      </c>
      <c r="B38" s="33" t="s">
        <v>81</v>
      </c>
      <c r="C38" s="27"/>
      <c r="D38" s="27"/>
      <c r="E38" s="27"/>
      <c r="F38" s="27">
        <v>-1250</v>
      </c>
      <c r="G38" s="27">
        <v>-1250</v>
      </c>
      <c r="H38" s="27">
        <v>-1250</v>
      </c>
      <c r="I38" s="27">
        <v>-1250</v>
      </c>
      <c r="J38" s="27">
        <v>-1250</v>
      </c>
      <c r="K38" s="27">
        <v>-1250</v>
      </c>
      <c r="L38" s="27">
        <v>-1250</v>
      </c>
      <c r="M38" s="27">
        <v>-1250</v>
      </c>
      <c r="N38" s="27">
        <v>-1250</v>
      </c>
      <c r="O38" s="27">
        <v>-1250</v>
      </c>
      <c r="P38" s="27">
        <v>-1250</v>
      </c>
      <c r="Q38" s="27">
        <v>-1250</v>
      </c>
      <c r="R38" s="27">
        <v>-1250</v>
      </c>
      <c r="S38" s="27">
        <v>-1250</v>
      </c>
      <c r="T38" s="27">
        <v>-1250</v>
      </c>
      <c r="U38" s="27">
        <v>-1250</v>
      </c>
      <c r="V38" s="27">
        <v>-1250</v>
      </c>
      <c r="W38" s="27">
        <v>-1250</v>
      </c>
    </row>
    <row r="39" spans="1:23" ht="15.75">
      <c r="A39" s="23" t="s">
        <v>55</v>
      </c>
      <c r="B39" s="33" t="s">
        <v>81</v>
      </c>
      <c r="C39" s="27"/>
      <c r="D39" s="27"/>
      <c r="E39" s="27"/>
      <c r="F39" s="27">
        <v>-2500</v>
      </c>
      <c r="G39" s="27">
        <v>-2500</v>
      </c>
      <c r="H39" s="27">
        <v>-2500</v>
      </c>
      <c r="I39" s="27">
        <v>-2500</v>
      </c>
      <c r="J39" s="27">
        <v>-2500</v>
      </c>
      <c r="K39" s="27">
        <v>-2500</v>
      </c>
      <c r="L39" s="27">
        <v>-2500</v>
      </c>
      <c r="M39" s="27">
        <v>-2500</v>
      </c>
      <c r="N39" s="27">
        <v>-2500</v>
      </c>
      <c r="O39" s="27">
        <v>-2500</v>
      </c>
      <c r="P39" s="27">
        <v>-2500</v>
      </c>
      <c r="Q39" s="27">
        <v>-2500</v>
      </c>
      <c r="R39" s="27">
        <v>-2500</v>
      </c>
      <c r="S39" s="27">
        <v>-2500</v>
      </c>
      <c r="T39" s="27">
        <v>-2500</v>
      </c>
      <c r="U39" s="27">
        <v>-2500</v>
      </c>
      <c r="V39" s="27">
        <v>-2500</v>
      </c>
      <c r="W39" s="27">
        <v>-2500</v>
      </c>
    </row>
    <row r="40" spans="1:23" ht="15.75">
      <c r="A40" s="23" t="s">
        <v>58</v>
      </c>
      <c r="B40" s="33" t="s">
        <v>81</v>
      </c>
      <c r="C40" s="27"/>
      <c r="D40" s="27"/>
      <c r="E40" s="27"/>
      <c r="F40" s="27">
        <v>-25000</v>
      </c>
      <c r="G40" s="27">
        <v>-25000</v>
      </c>
      <c r="H40" s="27">
        <v>-25000</v>
      </c>
      <c r="I40" s="27">
        <v>-25000</v>
      </c>
      <c r="J40" s="27">
        <v>-25000</v>
      </c>
      <c r="K40" s="27">
        <v>-25000</v>
      </c>
      <c r="L40" s="27">
        <v>-25000</v>
      </c>
      <c r="M40" s="27">
        <v>-25000</v>
      </c>
      <c r="N40" s="27">
        <v>-25000</v>
      </c>
      <c r="O40" s="27">
        <v>-25000</v>
      </c>
      <c r="P40" s="27">
        <v>-25000</v>
      </c>
      <c r="Q40" s="27">
        <v>-25000</v>
      </c>
      <c r="R40" s="27">
        <v>-25000</v>
      </c>
      <c r="S40" s="27">
        <v>-25000</v>
      </c>
      <c r="T40" s="27">
        <v>-25000</v>
      </c>
      <c r="U40" s="27">
        <v>-25000</v>
      </c>
      <c r="V40" s="27">
        <v>-25000</v>
      </c>
      <c r="W40" s="27">
        <v>-25000</v>
      </c>
    </row>
    <row r="41" spans="1:23" ht="15.75">
      <c r="A41" s="23" t="s">
        <v>59</v>
      </c>
      <c r="B41" s="33" t="s">
        <v>81</v>
      </c>
      <c r="C41" s="27"/>
      <c r="D41" s="27"/>
      <c r="E41" s="27"/>
      <c r="F41" s="27">
        <v>-5500</v>
      </c>
      <c r="G41" s="27">
        <v>-5500</v>
      </c>
      <c r="H41" s="27">
        <v>-5500</v>
      </c>
      <c r="I41" s="27">
        <v>-5500</v>
      </c>
      <c r="J41" s="27">
        <v>-5500</v>
      </c>
      <c r="K41" s="27">
        <v>-5500</v>
      </c>
      <c r="L41" s="27">
        <v>-5500</v>
      </c>
      <c r="M41" s="27">
        <v>-5500</v>
      </c>
      <c r="N41" s="27">
        <v>-5500</v>
      </c>
      <c r="O41" s="27">
        <v>-5500</v>
      </c>
      <c r="P41" s="27">
        <v>-5500</v>
      </c>
      <c r="Q41" s="27">
        <v>-5500</v>
      </c>
      <c r="R41" s="27">
        <v>-5500</v>
      </c>
      <c r="S41" s="27">
        <v>-5500</v>
      </c>
      <c r="T41" s="27">
        <v>-5500</v>
      </c>
      <c r="U41" s="27">
        <v>-5500</v>
      </c>
      <c r="V41" s="27">
        <v>-5500</v>
      </c>
      <c r="W41" s="27">
        <v>-5500</v>
      </c>
    </row>
    <row r="42" spans="1:24" ht="15.75">
      <c r="A42" s="36" t="s">
        <v>35</v>
      </c>
      <c r="B42" s="25"/>
      <c r="C42" s="24">
        <f aca="true" t="shared" si="5" ref="C42:W42">SUM(C34:C41)</f>
        <v>0</v>
      </c>
      <c r="D42" s="24">
        <f t="shared" si="5"/>
        <v>0</v>
      </c>
      <c r="E42" s="24">
        <f t="shared" si="5"/>
        <v>0</v>
      </c>
      <c r="F42" s="24">
        <f t="shared" si="5"/>
        <v>-42750</v>
      </c>
      <c r="G42" s="24">
        <f t="shared" si="5"/>
        <v>-42750</v>
      </c>
      <c r="H42" s="24">
        <f t="shared" si="5"/>
        <v>-42750</v>
      </c>
      <c r="I42" s="24">
        <f t="shared" si="5"/>
        <v>-42750</v>
      </c>
      <c r="J42" s="24">
        <f t="shared" si="5"/>
        <v>-57750</v>
      </c>
      <c r="K42" s="24">
        <f t="shared" si="5"/>
        <v>-42750</v>
      </c>
      <c r="L42" s="24">
        <f t="shared" si="5"/>
        <v>-42750</v>
      </c>
      <c r="M42" s="24">
        <f t="shared" si="5"/>
        <v>-42750</v>
      </c>
      <c r="N42" s="24">
        <f t="shared" si="5"/>
        <v>-42750</v>
      </c>
      <c r="O42" s="24">
        <f t="shared" si="5"/>
        <v>-57750</v>
      </c>
      <c r="P42" s="24">
        <f t="shared" si="5"/>
        <v>-42750</v>
      </c>
      <c r="Q42" s="24">
        <f t="shared" si="5"/>
        <v>-42750</v>
      </c>
      <c r="R42" s="24">
        <f t="shared" si="5"/>
        <v>-42750</v>
      </c>
      <c r="S42" s="24">
        <f t="shared" si="5"/>
        <v>-42750</v>
      </c>
      <c r="T42" s="24">
        <f t="shared" si="5"/>
        <v>-57750</v>
      </c>
      <c r="U42" s="24">
        <f t="shared" si="5"/>
        <v>-42750</v>
      </c>
      <c r="V42" s="24">
        <f t="shared" si="5"/>
        <v>-42750</v>
      </c>
      <c r="W42" s="24">
        <f t="shared" si="5"/>
        <v>-42750</v>
      </c>
      <c r="X42" s="49">
        <f>SUM(C42:W42)</f>
        <v>-814500</v>
      </c>
    </row>
    <row r="43" spans="1:23" ht="15.75">
      <c r="A43" s="35" t="s">
        <v>63</v>
      </c>
      <c r="B43" s="34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</row>
    <row r="44" spans="1:23" ht="15.75">
      <c r="A44" s="26" t="s">
        <v>77</v>
      </c>
      <c r="B44" s="33" t="s">
        <v>81</v>
      </c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</row>
    <row r="45" spans="1:23" ht="15.75">
      <c r="A45" s="26" t="s">
        <v>87</v>
      </c>
      <c r="B45" s="33" t="s">
        <v>81</v>
      </c>
      <c r="C45" s="27"/>
      <c r="D45" s="27"/>
      <c r="E45" s="27"/>
      <c r="F45" s="27">
        <f>-1985000*0.025</f>
        <v>-49625</v>
      </c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</row>
    <row r="46" spans="1:23" ht="15.75">
      <c r="A46" s="23" t="s">
        <v>64</v>
      </c>
      <c r="B46" s="33" t="s">
        <v>81</v>
      </c>
      <c r="C46" s="27"/>
      <c r="D46" s="27"/>
      <c r="E46" s="27"/>
      <c r="F46" s="27">
        <v>-4500</v>
      </c>
      <c r="G46" s="27">
        <f aca="true" t="shared" si="6" ref="G46:G51">F46</f>
        <v>-4500</v>
      </c>
      <c r="H46" s="27">
        <f aca="true" t="shared" si="7" ref="H46:W51">G46</f>
        <v>-4500</v>
      </c>
      <c r="I46" s="27">
        <f t="shared" si="7"/>
        <v>-4500</v>
      </c>
      <c r="J46" s="27">
        <f t="shared" si="7"/>
        <v>-4500</v>
      </c>
      <c r="K46" s="27">
        <f t="shared" si="7"/>
        <v>-4500</v>
      </c>
      <c r="L46" s="27">
        <f t="shared" si="7"/>
        <v>-4500</v>
      </c>
      <c r="M46" s="27">
        <f t="shared" si="7"/>
        <v>-4500</v>
      </c>
      <c r="N46" s="27">
        <f t="shared" si="7"/>
        <v>-4500</v>
      </c>
      <c r="O46" s="27">
        <f t="shared" si="7"/>
        <v>-4500</v>
      </c>
      <c r="P46" s="27">
        <f t="shared" si="7"/>
        <v>-4500</v>
      </c>
      <c r="Q46" s="27">
        <f t="shared" si="7"/>
        <v>-4500</v>
      </c>
      <c r="R46" s="27">
        <f t="shared" si="7"/>
        <v>-4500</v>
      </c>
      <c r="S46" s="27">
        <f t="shared" si="7"/>
        <v>-4500</v>
      </c>
      <c r="T46" s="27">
        <f t="shared" si="7"/>
        <v>-4500</v>
      </c>
      <c r="U46" s="27">
        <f t="shared" si="7"/>
        <v>-4500</v>
      </c>
      <c r="V46" s="27">
        <f t="shared" si="7"/>
        <v>-4500</v>
      </c>
      <c r="W46" s="27">
        <f t="shared" si="7"/>
        <v>-4500</v>
      </c>
    </row>
    <row r="47" spans="1:23" ht="15.75">
      <c r="A47" s="23" t="s">
        <v>65</v>
      </c>
      <c r="B47" s="33" t="s">
        <v>81</v>
      </c>
      <c r="C47" s="27"/>
      <c r="D47" s="27"/>
      <c r="E47" s="27"/>
      <c r="F47" s="27">
        <f>-55000*2</f>
        <v>-110000</v>
      </c>
      <c r="G47" s="27">
        <f t="shared" si="6"/>
        <v>-110000</v>
      </c>
      <c r="H47" s="27">
        <f aca="true" t="shared" si="8" ref="H47:V47">G47</f>
        <v>-110000</v>
      </c>
      <c r="I47" s="27">
        <f t="shared" si="8"/>
        <v>-110000</v>
      </c>
      <c r="J47" s="27">
        <f t="shared" si="8"/>
        <v>-110000</v>
      </c>
      <c r="K47" s="27">
        <f t="shared" si="8"/>
        <v>-110000</v>
      </c>
      <c r="L47" s="27">
        <f t="shared" si="8"/>
        <v>-110000</v>
      </c>
      <c r="M47" s="27">
        <f t="shared" si="8"/>
        <v>-110000</v>
      </c>
      <c r="N47" s="27">
        <f t="shared" si="8"/>
        <v>-110000</v>
      </c>
      <c r="O47" s="27">
        <f t="shared" si="8"/>
        <v>-110000</v>
      </c>
      <c r="P47" s="27">
        <f t="shared" si="8"/>
        <v>-110000</v>
      </c>
      <c r="Q47" s="27">
        <f t="shared" si="8"/>
        <v>-110000</v>
      </c>
      <c r="R47" s="27">
        <f t="shared" si="8"/>
        <v>-110000</v>
      </c>
      <c r="S47" s="27">
        <f t="shared" si="8"/>
        <v>-110000</v>
      </c>
      <c r="T47" s="27">
        <f t="shared" si="8"/>
        <v>-110000</v>
      </c>
      <c r="U47" s="27">
        <f t="shared" si="8"/>
        <v>-110000</v>
      </c>
      <c r="V47" s="27">
        <f t="shared" si="8"/>
        <v>-110000</v>
      </c>
      <c r="W47" s="27">
        <f t="shared" si="7"/>
        <v>-110000</v>
      </c>
    </row>
    <row r="48" spans="1:23" ht="15.75">
      <c r="A48" s="23" t="s">
        <v>66</v>
      </c>
      <c r="B48" s="33" t="s">
        <v>81</v>
      </c>
      <c r="C48" s="27"/>
      <c r="D48" s="27"/>
      <c r="E48" s="27"/>
      <c r="F48" s="27">
        <v>-9000</v>
      </c>
      <c r="G48" s="27">
        <f t="shared" si="6"/>
        <v>-9000</v>
      </c>
      <c r="H48" s="27">
        <f t="shared" si="7"/>
        <v>-9000</v>
      </c>
      <c r="I48" s="27">
        <f t="shared" si="7"/>
        <v>-9000</v>
      </c>
      <c r="J48" s="27">
        <f t="shared" si="7"/>
        <v>-9000</v>
      </c>
      <c r="K48" s="27">
        <f t="shared" si="7"/>
        <v>-9000</v>
      </c>
      <c r="L48" s="27">
        <f t="shared" si="7"/>
        <v>-9000</v>
      </c>
      <c r="M48" s="27">
        <f t="shared" si="7"/>
        <v>-9000</v>
      </c>
      <c r="N48" s="27">
        <f t="shared" si="7"/>
        <v>-9000</v>
      </c>
      <c r="O48" s="27">
        <f t="shared" si="7"/>
        <v>-9000</v>
      </c>
      <c r="P48" s="27">
        <f t="shared" si="7"/>
        <v>-9000</v>
      </c>
      <c r="Q48" s="27">
        <f t="shared" si="7"/>
        <v>-9000</v>
      </c>
      <c r="R48" s="27">
        <f t="shared" si="7"/>
        <v>-9000</v>
      </c>
      <c r="S48" s="27">
        <f t="shared" si="7"/>
        <v>-9000</v>
      </c>
      <c r="T48" s="27">
        <f t="shared" si="7"/>
        <v>-9000</v>
      </c>
      <c r="U48" s="27">
        <f t="shared" si="7"/>
        <v>-9000</v>
      </c>
      <c r="V48" s="27">
        <f t="shared" si="7"/>
        <v>-9000</v>
      </c>
      <c r="W48" s="27">
        <f t="shared" si="7"/>
        <v>-9000</v>
      </c>
    </row>
    <row r="49" spans="1:23" ht="15.75">
      <c r="A49" s="26" t="s">
        <v>76</v>
      </c>
      <c r="B49" s="33" t="s">
        <v>81</v>
      </c>
      <c r="C49" s="27"/>
      <c r="D49" s="27"/>
      <c r="E49" s="27"/>
      <c r="F49" s="27">
        <f>(-1985000*0.05)+(-198500*0.08)</f>
        <v>-115130</v>
      </c>
      <c r="G49" s="27">
        <f t="shared" si="6"/>
        <v>-115130</v>
      </c>
      <c r="H49" s="27">
        <f t="shared" si="7"/>
        <v>-115130</v>
      </c>
      <c r="I49" s="27">
        <f t="shared" si="7"/>
        <v>-115130</v>
      </c>
      <c r="J49" s="27">
        <f t="shared" si="7"/>
        <v>-115130</v>
      </c>
      <c r="K49" s="27">
        <f t="shared" si="7"/>
        <v>-115130</v>
      </c>
      <c r="L49" s="27">
        <f t="shared" si="7"/>
        <v>-115130</v>
      </c>
      <c r="M49" s="27">
        <f>L49+(-496250*0.05)+(-496250*0.08)</f>
        <v>-179642.5</v>
      </c>
      <c r="N49" s="27">
        <f t="shared" si="7"/>
        <v>-179642.5</v>
      </c>
      <c r="O49" s="27">
        <f t="shared" si="7"/>
        <v>-179642.5</v>
      </c>
      <c r="P49" s="27">
        <f t="shared" si="7"/>
        <v>-179642.5</v>
      </c>
      <c r="Q49" s="27">
        <f t="shared" si="7"/>
        <v>-179642.5</v>
      </c>
      <c r="R49" s="27">
        <f t="shared" si="7"/>
        <v>-179642.5</v>
      </c>
      <c r="S49" s="27">
        <f t="shared" si="7"/>
        <v>-179642.5</v>
      </c>
      <c r="T49" s="27">
        <f t="shared" si="7"/>
        <v>-179642.5</v>
      </c>
      <c r="U49" s="27">
        <f t="shared" si="7"/>
        <v>-179642.5</v>
      </c>
      <c r="V49" s="27">
        <f t="shared" si="7"/>
        <v>-179642.5</v>
      </c>
      <c r="W49" s="27">
        <f t="shared" si="7"/>
        <v>-179642.5</v>
      </c>
    </row>
    <row r="50" spans="1:23" ht="15.75">
      <c r="A50" s="23" t="s">
        <v>67</v>
      </c>
      <c r="B50" s="33" t="s">
        <v>81</v>
      </c>
      <c r="C50" s="27"/>
      <c r="D50" s="27"/>
      <c r="E50" s="27"/>
      <c r="F50" s="27">
        <v>-1500</v>
      </c>
      <c r="G50" s="27">
        <f t="shared" si="6"/>
        <v>-1500</v>
      </c>
      <c r="H50" s="27">
        <f t="shared" si="7"/>
        <v>-1500</v>
      </c>
      <c r="I50" s="27">
        <f t="shared" si="7"/>
        <v>-1500</v>
      </c>
      <c r="J50" s="27">
        <f t="shared" si="7"/>
        <v>-1500</v>
      </c>
      <c r="K50" s="27">
        <f t="shared" si="7"/>
        <v>-1500</v>
      </c>
      <c r="L50" s="27">
        <f t="shared" si="7"/>
        <v>-1500</v>
      </c>
      <c r="M50" s="27">
        <f t="shared" si="7"/>
        <v>-1500</v>
      </c>
      <c r="N50" s="27">
        <f t="shared" si="7"/>
        <v>-1500</v>
      </c>
      <c r="O50" s="27">
        <f t="shared" si="7"/>
        <v>-1500</v>
      </c>
      <c r="P50" s="27">
        <f t="shared" si="7"/>
        <v>-1500</v>
      </c>
      <c r="Q50" s="27">
        <f t="shared" si="7"/>
        <v>-1500</v>
      </c>
      <c r="R50" s="27">
        <f t="shared" si="7"/>
        <v>-1500</v>
      </c>
      <c r="S50" s="27">
        <f t="shared" si="7"/>
        <v>-1500</v>
      </c>
      <c r="T50" s="27">
        <f t="shared" si="7"/>
        <v>-1500</v>
      </c>
      <c r="U50" s="27">
        <f t="shared" si="7"/>
        <v>-1500</v>
      </c>
      <c r="V50" s="27">
        <f t="shared" si="7"/>
        <v>-1500</v>
      </c>
      <c r="W50" s="27">
        <f t="shared" si="7"/>
        <v>-1500</v>
      </c>
    </row>
    <row r="51" spans="1:23" ht="15.75">
      <c r="A51" s="26" t="s">
        <v>78</v>
      </c>
      <c r="B51" s="33" t="s">
        <v>81</v>
      </c>
      <c r="C51" s="27"/>
      <c r="D51" s="27"/>
      <c r="E51" s="27"/>
      <c r="F51" s="27">
        <f>-48800+-15000</f>
        <v>-63800</v>
      </c>
      <c r="G51" s="27">
        <f t="shared" si="6"/>
        <v>-63800</v>
      </c>
      <c r="H51" s="27">
        <f t="shared" si="7"/>
        <v>-63800</v>
      </c>
      <c r="I51" s="27">
        <f t="shared" si="7"/>
        <v>-63800</v>
      </c>
      <c r="J51" s="27">
        <f t="shared" si="7"/>
        <v>-63800</v>
      </c>
      <c r="K51" s="27">
        <f t="shared" si="7"/>
        <v>-63800</v>
      </c>
      <c r="L51" s="27">
        <f t="shared" si="7"/>
        <v>-63800</v>
      </c>
      <c r="M51" s="27">
        <f t="shared" si="7"/>
        <v>-63800</v>
      </c>
      <c r="N51" s="27">
        <f t="shared" si="7"/>
        <v>-63800</v>
      </c>
      <c r="O51" s="27">
        <f t="shared" si="7"/>
        <v>-63800</v>
      </c>
      <c r="P51" s="27">
        <f t="shared" si="7"/>
        <v>-63800</v>
      </c>
      <c r="Q51" s="27">
        <f t="shared" si="7"/>
        <v>-63800</v>
      </c>
      <c r="R51" s="27">
        <f t="shared" si="7"/>
        <v>-63800</v>
      </c>
      <c r="S51" s="27">
        <f t="shared" si="7"/>
        <v>-63800</v>
      </c>
      <c r="T51" s="27">
        <f t="shared" si="7"/>
        <v>-63800</v>
      </c>
      <c r="U51" s="27">
        <f t="shared" si="7"/>
        <v>-63800</v>
      </c>
      <c r="V51" s="27">
        <f t="shared" si="7"/>
        <v>-63800</v>
      </c>
      <c r="W51" s="27">
        <f t="shared" si="7"/>
        <v>-63800</v>
      </c>
    </row>
    <row r="52" spans="1:24" ht="15.75">
      <c r="A52" s="36" t="s">
        <v>35</v>
      </c>
      <c r="B52" s="25"/>
      <c r="C52" s="24">
        <f>SUM(C44:C51)</f>
        <v>0</v>
      </c>
      <c r="D52" s="24">
        <f aca="true" t="shared" si="9" ref="D52:W52">SUM(D44:D51)</f>
        <v>0</v>
      </c>
      <c r="E52" s="24">
        <f t="shared" si="9"/>
        <v>0</v>
      </c>
      <c r="F52" s="24">
        <f t="shared" si="9"/>
        <v>-353555</v>
      </c>
      <c r="G52" s="24">
        <f t="shared" si="9"/>
        <v>-303930</v>
      </c>
      <c r="H52" s="24">
        <f t="shared" si="9"/>
        <v>-303930</v>
      </c>
      <c r="I52" s="24">
        <f t="shared" si="9"/>
        <v>-303930</v>
      </c>
      <c r="J52" s="24">
        <f t="shared" si="9"/>
        <v>-303930</v>
      </c>
      <c r="K52" s="24">
        <f t="shared" si="9"/>
        <v>-303930</v>
      </c>
      <c r="L52" s="24">
        <f t="shared" si="9"/>
        <v>-303930</v>
      </c>
      <c r="M52" s="24">
        <f t="shared" si="9"/>
        <v>-368442.5</v>
      </c>
      <c r="N52" s="24">
        <f t="shared" si="9"/>
        <v>-368442.5</v>
      </c>
      <c r="O52" s="24">
        <f t="shared" si="9"/>
        <v>-368442.5</v>
      </c>
      <c r="P52" s="24">
        <f t="shared" si="9"/>
        <v>-368442.5</v>
      </c>
      <c r="Q52" s="24">
        <f t="shared" si="9"/>
        <v>-368442.5</v>
      </c>
      <c r="R52" s="24">
        <f t="shared" si="9"/>
        <v>-368442.5</v>
      </c>
      <c r="S52" s="24">
        <f t="shared" si="9"/>
        <v>-368442.5</v>
      </c>
      <c r="T52" s="24">
        <f t="shared" si="9"/>
        <v>-368442.5</v>
      </c>
      <c r="U52" s="24">
        <f t="shared" si="9"/>
        <v>-368442.5</v>
      </c>
      <c r="V52" s="24">
        <f t="shared" si="9"/>
        <v>-368442.5</v>
      </c>
      <c r="W52" s="24">
        <f t="shared" si="9"/>
        <v>-368442.5</v>
      </c>
      <c r="X52" s="49">
        <f>SUM(C52:W52)</f>
        <v>-6230002.5</v>
      </c>
    </row>
    <row r="55" spans="1:23" s="132" customFormat="1" ht="15.75">
      <c r="A55" s="131" t="s">
        <v>109</v>
      </c>
      <c r="C55" s="133">
        <f>C15+C16+C17+C18+C26+C27+C28+C29+C30+C31</f>
        <v>0</v>
      </c>
      <c r="D55" s="133">
        <f aca="true" t="shared" si="10" ref="D55:W55">D15+D16+D17+D18+D26+D27+D28+D29+D30+D31</f>
        <v>-49500</v>
      </c>
      <c r="E55" s="133">
        <f t="shared" si="10"/>
        <v>-1985000</v>
      </c>
      <c r="F55" s="133">
        <f t="shared" si="10"/>
        <v>0</v>
      </c>
      <c r="G55" s="133">
        <f t="shared" si="10"/>
        <v>0</v>
      </c>
      <c r="H55" s="133">
        <f t="shared" si="10"/>
        <v>0</v>
      </c>
      <c r="I55" s="133">
        <f t="shared" si="10"/>
        <v>0</v>
      </c>
      <c r="J55" s="133">
        <f t="shared" si="10"/>
        <v>0</v>
      </c>
      <c r="K55" s="133">
        <f t="shared" si="10"/>
        <v>0</v>
      </c>
      <c r="L55" s="133">
        <f t="shared" si="10"/>
        <v>-12375</v>
      </c>
      <c r="M55" s="133">
        <f t="shared" si="10"/>
        <v>-496250</v>
      </c>
      <c r="N55" s="133">
        <f t="shared" si="10"/>
        <v>0</v>
      </c>
      <c r="O55" s="133">
        <f t="shared" si="10"/>
        <v>0</v>
      </c>
      <c r="P55" s="133">
        <f t="shared" si="10"/>
        <v>0</v>
      </c>
      <c r="Q55" s="133">
        <f t="shared" si="10"/>
        <v>0</v>
      </c>
      <c r="R55" s="133">
        <f t="shared" si="10"/>
        <v>0</v>
      </c>
      <c r="S55" s="133">
        <f t="shared" si="10"/>
        <v>0</v>
      </c>
      <c r="T55" s="133">
        <f t="shared" si="10"/>
        <v>0</v>
      </c>
      <c r="U55" s="133">
        <f t="shared" si="10"/>
        <v>0</v>
      </c>
      <c r="V55" s="133">
        <f t="shared" si="10"/>
        <v>0</v>
      </c>
      <c r="W55" s="133">
        <f t="shared" si="10"/>
        <v>0</v>
      </c>
    </row>
    <row r="56" spans="1:23" ht="15.75">
      <c r="A56" s="36" t="s">
        <v>110</v>
      </c>
      <c r="C56" s="65">
        <f>C9+C10+C11+C12+C19+C20+C21+C22+C23+C34+C35+C36+C37+C38+C39+C40+C41+C44+C45+C46+C47+C48+C49+C50+C51</f>
        <v>-17700</v>
      </c>
      <c r="D56" s="65">
        <f aca="true" t="shared" si="11" ref="D56:W56">D9+D10+D11+D12+D19+D20+D21+D22+D23+D34+D35+D36+D37+D38+D39+D40+D41+D44+D45+D46+D47+D48+D49+D50+D51</f>
        <v>-90500</v>
      </c>
      <c r="E56" s="65">
        <f t="shared" si="11"/>
        <v>0</v>
      </c>
      <c r="F56" s="65">
        <f t="shared" si="11"/>
        <v>-396305</v>
      </c>
      <c r="G56" s="65">
        <f t="shared" si="11"/>
        <v>-346680</v>
      </c>
      <c r="H56" s="65">
        <f t="shared" si="11"/>
        <v>-346680</v>
      </c>
      <c r="I56" s="65">
        <f t="shared" si="11"/>
        <v>-346680</v>
      </c>
      <c r="J56" s="65">
        <f>J9+J10+J11+J12+J19+J20+J21+J22+J23+J34+J35+J36+J37+J38+J39+J40+J41+J44+J45+J46+J47+J48+J49+J50+J51</f>
        <v>-361680</v>
      </c>
      <c r="K56" s="65">
        <f>K9+K10+K11+K12+K19+K20+K21+K22+K23+K34+K35+K36+K37+K38+K39+K40+K41+K44+K45+K46+K47+K48+K49+K50+K51</f>
        <v>-351105</v>
      </c>
      <c r="L56" s="65">
        <f t="shared" si="11"/>
        <v>-369305</v>
      </c>
      <c r="M56" s="65">
        <f t="shared" si="11"/>
        <v>-411192.5</v>
      </c>
      <c r="N56" s="65">
        <f t="shared" si="11"/>
        <v>-411192.5</v>
      </c>
      <c r="O56" s="65">
        <f t="shared" si="11"/>
        <v>-426192.5</v>
      </c>
      <c r="P56" s="65">
        <f t="shared" si="11"/>
        <v>-411192.5</v>
      </c>
      <c r="Q56" s="65">
        <f t="shared" si="11"/>
        <v>-411192.5</v>
      </c>
      <c r="R56" s="65">
        <f t="shared" si="11"/>
        <v>-411192.5</v>
      </c>
      <c r="S56" s="65">
        <f t="shared" si="11"/>
        <v>-411192.5</v>
      </c>
      <c r="T56" s="65">
        <f t="shared" si="11"/>
        <v>-426192.5</v>
      </c>
      <c r="U56" s="65">
        <f t="shared" si="11"/>
        <v>-411192.5</v>
      </c>
      <c r="V56" s="65">
        <f t="shared" si="11"/>
        <v>-411192.5</v>
      </c>
      <c r="W56" s="65">
        <f t="shared" si="11"/>
        <v>-411192.5</v>
      </c>
    </row>
    <row r="57" spans="1:25" s="46" customFormat="1" ht="15.75">
      <c r="A57" s="36" t="s">
        <v>75</v>
      </c>
      <c r="B57" s="29"/>
      <c r="C57" s="65">
        <v>0</v>
      </c>
      <c r="D57" s="65">
        <v>0</v>
      </c>
      <c r="E57" s="66">
        <v>0</v>
      </c>
      <c r="F57" s="65">
        <v>260000</v>
      </c>
      <c r="G57" s="65">
        <f>F57</f>
        <v>260000</v>
      </c>
      <c r="H57" s="65">
        <f>G57</f>
        <v>260000</v>
      </c>
      <c r="I57" s="65">
        <f>H57</f>
        <v>260000</v>
      </c>
      <c r="J57" s="65">
        <v>230000</v>
      </c>
      <c r="K57" s="65">
        <v>260000</v>
      </c>
      <c r="L57" s="65">
        <f>K57</f>
        <v>260000</v>
      </c>
      <c r="M57" s="65">
        <v>100000</v>
      </c>
      <c r="N57" s="65">
        <v>300000</v>
      </c>
      <c r="O57" s="65">
        <v>270000</v>
      </c>
      <c r="P57" s="65">
        <v>300000</v>
      </c>
      <c r="Q57" s="65">
        <v>300000</v>
      </c>
      <c r="R57" s="65">
        <f>Q57</f>
        <v>300000</v>
      </c>
      <c r="S57" s="65">
        <f>R57</f>
        <v>300000</v>
      </c>
      <c r="T57" s="65">
        <v>270000</v>
      </c>
      <c r="U57" s="65">
        <v>300000</v>
      </c>
      <c r="V57" s="65">
        <f>U57</f>
        <v>300000</v>
      </c>
      <c r="W57" s="65">
        <f>V57</f>
        <v>300000</v>
      </c>
      <c r="X57" s="48">
        <f>SUM(C57:W57)</f>
        <v>4830000</v>
      </c>
      <c r="Y57" s="48">
        <f>SUM(X13:X52)</f>
        <v>-9722877.5</v>
      </c>
    </row>
    <row r="59" spans="1:23" ht="15.75">
      <c r="A59" s="29"/>
      <c r="B59" s="29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</row>
    <row r="60" spans="1:25" s="46" customFormat="1" ht="15.75">
      <c r="A60" s="36" t="s">
        <v>120</v>
      </c>
      <c r="B60" s="29"/>
      <c r="C60" s="47">
        <f aca="true" t="shared" si="12" ref="C60:W60">(C13+C24+C32+C42+C52)+C57</f>
        <v>-17700</v>
      </c>
      <c r="D60" s="47">
        <f t="shared" si="12"/>
        <v>-140000</v>
      </c>
      <c r="E60" s="47">
        <f t="shared" si="12"/>
        <v>-1985000</v>
      </c>
      <c r="F60" s="47">
        <f t="shared" si="12"/>
        <v>-136305</v>
      </c>
      <c r="G60" s="47">
        <f t="shared" si="12"/>
        <v>-86680</v>
      </c>
      <c r="H60" s="47">
        <f t="shared" si="12"/>
        <v>-86680</v>
      </c>
      <c r="I60" s="47">
        <f t="shared" si="12"/>
        <v>-86680</v>
      </c>
      <c r="J60" s="47">
        <f t="shared" si="12"/>
        <v>-131680</v>
      </c>
      <c r="K60" s="47">
        <f t="shared" si="12"/>
        <v>-91105</v>
      </c>
      <c r="L60" s="47">
        <f t="shared" si="12"/>
        <v>-121680</v>
      </c>
      <c r="M60" s="47">
        <f t="shared" si="12"/>
        <v>-807442.5</v>
      </c>
      <c r="N60" s="47">
        <f t="shared" si="12"/>
        <v>-111192.5</v>
      </c>
      <c r="O60" s="47">
        <f t="shared" si="12"/>
        <v>-156192.5</v>
      </c>
      <c r="P60" s="47">
        <f t="shared" si="12"/>
        <v>-111192.5</v>
      </c>
      <c r="Q60" s="47">
        <f t="shared" si="12"/>
        <v>-111192.5</v>
      </c>
      <c r="R60" s="47">
        <f t="shared" si="12"/>
        <v>-111192.5</v>
      </c>
      <c r="S60" s="47">
        <f t="shared" si="12"/>
        <v>-111192.5</v>
      </c>
      <c r="T60" s="47">
        <f t="shared" si="12"/>
        <v>-156192.5</v>
      </c>
      <c r="U60" s="47">
        <f t="shared" si="12"/>
        <v>-111192.5</v>
      </c>
      <c r="V60" s="47">
        <f t="shared" si="12"/>
        <v>-111192.5</v>
      </c>
      <c r="W60" s="47">
        <f t="shared" si="12"/>
        <v>-111192.5</v>
      </c>
      <c r="X60" s="48">
        <f>SUM(C60:W60)</f>
        <v>-4892877.5</v>
      </c>
      <c r="Y60" s="48" t="s">
        <v>37</v>
      </c>
    </row>
    <row r="61" spans="1:24" ht="15.75">
      <c r="A61" s="29"/>
      <c r="B61" s="29"/>
      <c r="C61" s="134"/>
      <c r="D61" s="134"/>
      <c r="E61" s="134"/>
      <c r="F61" s="134"/>
      <c r="G61" s="134"/>
      <c r="H61" s="134"/>
      <c r="I61" s="134"/>
      <c r="J61" s="134"/>
      <c r="K61" s="134"/>
      <c r="L61" s="134"/>
      <c r="M61" s="134"/>
      <c r="N61" s="134"/>
      <c r="O61" s="134"/>
      <c r="P61" s="134"/>
      <c r="Q61" s="134"/>
      <c r="R61" s="134"/>
      <c r="S61" s="134"/>
      <c r="T61" s="134"/>
      <c r="U61" s="134"/>
      <c r="V61" s="134"/>
      <c r="W61" s="134"/>
      <c r="X61" s="135"/>
    </row>
    <row r="62" spans="3:23" ht="15.75">
      <c r="C62" s="136"/>
      <c r="D62" s="136"/>
      <c r="E62" s="136"/>
      <c r="F62" s="136"/>
      <c r="G62" s="136"/>
      <c r="H62" s="136"/>
      <c r="I62" s="136"/>
      <c r="J62" s="136"/>
      <c r="K62" s="136"/>
      <c r="L62" s="136"/>
      <c r="M62" s="136"/>
      <c r="N62" s="136"/>
      <c r="O62" s="136"/>
      <c r="P62" s="136"/>
      <c r="Q62" s="136"/>
      <c r="R62" s="136"/>
      <c r="S62" s="136"/>
      <c r="T62" s="136"/>
      <c r="U62" s="136"/>
      <c r="V62" s="136"/>
      <c r="W62" s="136"/>
    </row>
  </sheetData>
  <sheetProtection password="D899" sheet="1" objects="1" scenarios="1"/>
  <mergeCells count="2">
    <mergeCell ref="A1:W1"/>
    <mergeCell ref="A2:W2"/>
  </mergeCells>
  <printOptions horizontalCentered="1" verticalCentered="1"/>
  <pageMargins left="0.1968503937007874" right="0.17" top="0.2755905511811024" bottom="0.2755905511811024" header="0.2755905511811024" footer="0.2362204724409449"/>
  <pageSetup fitToHeight="1" fitToWidth="1" horizontalDpi="600" verticalDpi="600" orientation="landscape" paperSize="9" scale="44" r:id="rId3"/>
  <headerFooter alignWithMargins="0">
    <oddFooter>&amp;R&amp;14 31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62"/>
  <sheetViews>
    <sheetView zoomScale="75" zoomScaleNormal="75" workbookViewId="0" topLeftCell="A7">
      <selection activeCell="E26" sqref="E26"/>
    </sheetView>
  </sheetViews>
  <sheetFormatPr defaultColWidth="9.00390625" defaultRowHeight="15.75"/>
  <cols>
    <col min="1" max="1" width="47.875" style="0" customWidth="1"/>
    <col min="2" max="2" width="10.50390625" style="0" customWidth="1"/>
    <col min="3" max="3" width="9.75390625" style="0" bestFit="1" customWidth="1"/>
    <col min="4" max="4" width="10.75390625" style="0" bestFit="1" customWidth="1"/>
    <col min="5" max="8" width="12.25390625" style="0" bestFit="1" customWidth="1"/>
    <col min="9" max="22" width="12.125" style="0" bestFit="1" customWidth="1"/>
    <col min="23" max="23" width="12.00390625" style="0" bestFit="1" customWidth="1"/>
    <col min="24" max="24" width="13.625" style="0" customWidth="1"/>
    <col min="25" max="25" width="18.00390625" style="0" customWidth="1"/>
  </cols>
  <sheetData>
    <row r="1" spans="1:23" ht="30">
      <c r="A1" s="145" t="s">
        <v>123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</row>
    <row r="2" spans="1:23" ht="23.25">
      <c r="A2" s="146" t="s">
        <v>38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</row>
    <row r="3" spans="1:13" ht="33" customHeight="1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</row>
    <row r="4" spans="1:23" s="38" customFormat="1" ht="30" customHeight="1">
      <c r="A4" s="37" t="s">
        <v>39</v>
      </c>
      <c r="B4" s="39" t="s">
        <v>80</v>
      </c>
      <c r="C4" s="39" t="s">
        <v>40</v>
      </c>
      <c r="D4" s="39" t="s">
        <v>14</v>
      </c>
      <c r="E4" s="39" t="s">
        <v>15</v>
      </c>
      <c r="F4" s="39" t="s">
        <v>16</v>
      </c>
      <c r="G4" s="39" t="s">
        <v>17</v>
      </c>
      <c r="H4" s="39" t="s">
        <v>18</v>
      </c>
      <c r="I4" s="39" t="s">
        <v>19</v>
      </c>
      <c r="J4" s="39" t="s">
        <v>20</v>
      </c>
      <c r="K4" s="39" t="s">
        <v>21</v>
      </c>
      <c r="L4" s="39" t="s">
        <v>22</v>
      </c>
      <c r="M4" s="39" t="s">
        <v>23</v>
      </c>
      <c r="N4" s="39" t="s">
        <v>24</v>
      </c>
      <c r="O4" s="39" t="s">
        <v>25</v>
      </c>
      <c r="P4" s="39" t="s">
        <v>26</v>
      </c>
      <c r="Q4" s="39" t="s">
        <v>27</v>
      </c>
      <c r="R4" s="39" t="s">
        <v>28</v>
      </c>
      <c r="S4" s="39" t="s">
        <v>29</v>
      </c>
      <c r="T4" s="39" t="s">
        <v>30</v>
      </c>
      <c r="U4" s="39" t="s">
        <v>31</v>
      </c>
      <c r="V4" s="39" t="s">
        <v>32</v>
      </c>
      <c r="W4" s="39" t="s">
        <v>33</v>
      </c>
    </row>
    <row r="5" spans="1:23" ht="15.75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</row>
    <row r="6" spans="1:23" ht="18.75">
      <c r="A6" s="40" t="s">
        <v>41</v>
      </c>
      <c r="B6" s="31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</row>
    <row r="7" spans="1:23" ht="15.75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</row>
    <row r="8" spans="1:23" ht="15.75">
      <c r="A8" s="35" t="s">
        <v>42</v>
      </c>
      <c r="B8" s="32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</row>
    <row r="9" spans="1:23" ht="15.75">
      <c r="A9" s="23" t="s">
        <v>43</v>
      </c>
      <c r="B9" s="33" t="s">
        <v>81</v>
      </c>
      <c r="C9" s="27">
        <v>-500</v>
      </c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>
        <f>$C$9*0.25</f>
        <v>-125</v>
      </c>
      <c r="Q9" s="27"/>
      <c r="R9" s="27"/>
      <c r="S9" s="27"/>
      <c r="T9" s="27"/>
      <c r="U9" s="27"/>
      <c r="V9" s="27"/>
      <c r="W9" s="27"/>
    </row>
    <row r="10" spans="1:23" ht="15.75">
      <c r="A10" s="23" t="s">
        <v>44</v>
      </c>
      <c r="B10" s="33" t="s">
        <v>81</v>
      </c>
      <c r="C10" s="27">
        <v>-7500</v>
      </c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>
        <f>$C$10*0.25</f>
        <v>-1875</v>
      </c>
      <c r="Q10" s="27"/>
      <c r="R10" s="27"/>
      <c r="S10" s="27"/>
      <c r="T10" s="27"/>
      <c r="U10" s="27"/>
      <c r="V10" s="27"/>
      <c r="W10" s="27"/>
    </row>
    <row r="11" spans="1:23" ht="15.75">
      <c r="A11" s="23" t="s">
        <v>45</v>
      </c>
      <c r="B11" s="33" t="s">
        <v>81</v>
      </c>
      <c r="C11" s="27">
        <v>-1200</v>
      </c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>
        <f>$C$11*0.25</f>
        <v>-300</v>
      </c>
      <c r="Q11" s="27"/>
      <c r="R11" s="27"/>
      <c r="S11" s="27"/>
      <c r="T11" s="27"/>
      <c r="U11" s="27"/>
      <c r="V11" s="27"/>
      <c r="W11" s="27"/>
    </row>
    <row r="12" spans="1:23" ht="15.75">
      <c r="A12" s="23" t="s">
        <v>46</v>
      </c>
      <c r="B12" s="33" t="s">
        <v>81</v>
      </c>
      <c r="C12" s="27">
        <v>-8500</v>
      </c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>
        <f>$C12*0.25</f>
        <v>-2125</v>
      </c>
      <c r="Q12" s="27"/>
      <c r="R12" s="27"/>
      <c r="S12" s="27"/>
      <c r="T12" s="27"/>
      <c r="U12" s="27"/>
      <c r="V12" s="27"/>
      <c r="W12" s="27"/>
    </row>
    <row r="13" spans="1:24" ht="15.75">
      <c r="A13" s="36" t="s">
        <v>35</v>
      </c>
      <c r="B13" s="25"/>
      <c r="C13" s="24">
        <f aca="true" t="shared" si="0" ref="C13:W13">SUM(C9:C12)</f>
        <v>-17700</v>
      </c>
      <c r="D13" s="24">
        <f t="shared" si="0"/>
        <v>0</v>
      </c>
      <c r="E13" s="24">
        <f t="shared" si="0"/>
        <v>0</v>
      </c>
      <c r="F13" s="24">
        <f t="shared" si="0"/>
        <v>0</v>
      </c>
      <c r="G13" s="24">
        <f t="shared" si="0"/>
        <v>0</v>
      </c>
      <c r="H13" s="24">
        <f t="shared" si="0"/>
        <v>0</v>
      </c>
      <c r="I13" s="24">
        <f t="shared" si="0"/>
        <v>0</v>
      </c>
      <c r="J13" s="24">
        <f t="shared" si="0"/>
        <v>0</v>
      </c>
      <c r="K13" s="24">
        <f t="shared" si="0"/>
        <v>0</v>
      </c>
      <c r="L13" s="24">
        <f t="shared" si="0"/>
        <v>0</v>
      </c>
      <c r="M13" s="24">
        <f t="shared" si="0"/>
        <v>0</v>
      </c>
      <c r="N13" s="24">
        <f t="shared" si="0"/>
        <v>0</v>
      </c>
      <c r="O13" s="24">
        <f t="shared" si="0"/>
        <v>0</v>
      </c>
      <c r="P13" s="24">
        <f t="shared" si="0"/>
        <v>-4425</v>
      </c>
      <c r="Q13" s="24">
        <f t="shared" si="0"/>
        <v>0</v>
      </c>
      <c r="R13" s="24">
        <f t="shared" si="0"/>
        <v>0</v>
      </c>
      <c r="S13" s="24">
        <f t="shared" si="0"/>
        <v>0</v>
      </c>
      <c r="T13" s="24">
        <f t="shared" si="0"/>
        <v>0</v>
      </c>
      <c r="U13" s="24">
        <f t="shared" si="0"/>
        <v>0</v>
      </c>
      <c r="V13" s="24">
        <f t="shared" si="0"/>
        <v>0</v>
      </c>
      <c r="W13" s="24">
        <f t="shared" si="0"/>
        <v>0</v>
      </c>
      <c r="X13" s="49">
        <f>SUM(C13:W13)</f>
        <v>-22125</v>
      </c>
    </row>
    <row r="14" spans="1:23" ht="15.75">
      <c r="A14" s="35" t="s">
        <v>47</v>
      </c>
      <c r="B14" s="34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</row>
    <row r="15" spans="1:23" s="129" customFormat="1" ht="15.75">
      <c r="A15" s="126" t="s">
        <v>48</v>
      </c>
      <c r="B15" s="127" t="s">
        <v>82</v>
      </c>
      <c r="C15" s="128"/>
      <c r="D15" s="128">
        <v>-8250</v>
      </c>
      <c r="E15" s="128"/>
      <c r="F15" s="128"/>
      <c r="G15" s="128"/>
      <c r="H15" s="128"/>
      <c r="I15" s="128"/>
      <c r="J15" s="128"/>
      <c r="K15" s="128"/>
      <c r="L15" s="128"/>
      <c r="M15" s="128"/>
      <c r="N15" s="128"/>
      <c r="O15" s="128"/>
      <c r="P15" s="128"/>
      <c r="Q15" s="128">
        <f>$D15*0.25</f>
        <v>-2062.5</v>
      </c>
      <c r="R15" s="128"/>
      <c r="S15" s="128"/>
      <c r="T15" s="128"/>
      <c r="U15" s="128"/>
      <c r="V15" s="128"/>
      <c r="W15" s="128"/>
    </row>
    <row r="16" spans="1:23" s="129" customFormat="1" ht="15.75">
      <c r="A16" s="126" t="s">
        <v>83</v>
      </c>
      <c r="B16" s="127" t="s">
        <v>82</v>
      </c>
      <c r="C16" s="128"/>
      <c r="D16" s="128">
        <v>-2200</v>
      </c>
      <c r="E16" s="128"/>
      <c r="F16" s="128"/>
      <c r="G16" s="128"/>
      <c r="H16" s="128"/>
      <c r="I16" s="128"/>
      <c r="J16" s="128"/>
      <c r="K16" s="128"/>
      <c r="L16" s="128"/>
      <c r="M16" s="128"/>
      <c r="N16" s="128"/>
      <c r="O16" s="128"/>
      <c r="P16" s="128"/>
      <c r="Q16" s="128">
        <f aca="true" t="shared" si="1" ref="Q16:Q23">$D16*0.25</f>
        <v>-550</v>
      </c>
      <c r="R16" s="128"/>
      <c r="S16" s="128"/>
      <c r="T16" s="128"/>
      <c r="U16" s="128"/>
      <c r="V16" s="128"/>
      <c r="W16" s="128"/>
    </row>
    <row r="17" spans="1:23" s="129" customFormat="1" ht="15.75">
      <c r="A17" s="126" t="s">
        <v>79</v>
      </c>
      <c r="B17" s="127" t="s">
        <v>82</v>
      </c>
      <c r="C17" s="128"/>
      <c r="D17" s="128">
        <v>-27500</v>
      </c>
      <c r="E17" s="128"/>
      <c r="F17" s="128"/>
      <c r="G17" s="128"/>
      <c r="H17" s="128"/>
      <c r="I17" s="128"/>
      <c r="J17" s="128"/>
      <c r="K17" s="128"/>
      <c r="L17" s="128"/>
      <c r="M17" s="128"/>
      <c r="N17" s="128"/>
      <c r="O17" s="128"/>
      <c r="P17" s="128"/>
      <c r="Q17" s="128">
        <f t="shared" si="1"/>
        <v>-6875</v>
      </c>
      <c r="R17" s="128"/>
      <c r="S17" s="128"/>
      <c r="T17" s="128"/>
      <c r="U17" s="128"/>
      <c r="V17" s="128"/>
      <c r="W17" s="128"/>
    </row>
    <row r="18" spans="1:23" s="129" customFormat="1" ht="15.75">
      <c r="A18" s="126" t="s">
        <v>50</v>
      </c>
      <c r="B18" s="127" t="s">
        <v>82</v>
      </c>
      <c r="C18" s="128"/>
      <c r="D18" s="128">
        <v>-16500</v>
      </c>
      <c r="E18" s="128"/>
      <c r="F18" s="128"/>
      <c r="G18" s="128"/>
      <c r="H18" s="128"/>
      <c r="I18" s="128"/>
      <c r="J18" s="128"/>
      <c r="K18" s="128"/>
      <c r="L18" s="128"/>
      <c r="M18" s="128"/>
      <c r="N18" s="128"/>
      <c r="O18" s="128"/>
      <c r="P18" s="128"/>
      <c r="Q18" s="128">
        <f t="shared" si="1"/>
        <v>-4125</v>
      </c>
      <c r="R18" s="128"/>
      <c r="S18" s="128"/>
      <c r="T18" s="128"/>
      <c r="U18" s="128"/>
      <c r="V18" s="128"/>
      <c r="W18" s="128"/>
    </row>
    <row r="19" spans="1:23" ht="15.75">
      <c r="A19" s="23" t="s">
        <v>44</v>
      </c>
      <c r="B19" s="33" t="s">
        <v>81</v>
      </c>
      <c r="C19" s="27"/>
      <c r="D19" s="28">
        <v>-55000</v>
      </c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>
        <f t="shared" si="1"/>
        <v>-13750</v>
      </c>
      <c r="R19" s="27"/>
      <c r="S19" s="27"/>
      <c r="T19" s="27"/>
      <c r="U19" s="27"/>
      <c r="V19" s="27"/>
      <c r="W19" s="27"/>
    </row>
    <row r="20" spans="1:23" ht="15.75">
      <c r="A20" s="23" t="s">
        <v>49</v>
      </c>
      <c r="B20" s="33" t="s">
        <v>81</v>
      </c>
      <c r="C20" s="27"/>
      <c r="D20" s="28">
        <v>-8000</v>
      </c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>
        <f t="shared" si="1"/>
        <v>-2000</v>
      </c>
      <c r="R20" s="27"/>
      <c r="S20" s="27"/>
      <c r="T20" s="27"/>
      <c r="U20" s="27"/>
      <c r="V20" s="27"/>
      <c r="W20" s="27"/>
    </row>
    <row r="21" spans="1:23" ht="15.75">
      <c r="A21" s="26" t="s">
        <v>89</v>
      </c>
      <c r="B21" s="33" t="s">
        <v>81</v>
      </c>
      <c r="C21" s="27"/>
      <c r="D21" s="28">
        <v>-17000</v>
      </c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>
        <f t="shared" si="1"/>
        <v>-4250</v>
      </c>
      <c r="R21" s="27"/>
      <c r="S21" s="27"/>
      <c r="T21" s="27"/>
      <c r="U21" s="27"/>
      <c r="V21" s="27"/>
      <c r="W21" s="27"/>
    </row>
    <row r="22" spans="1:23" ht="15.75">
      <c r="A22" s="23" t="s">
        <v>51</v>
      </c>
      <c r="B22" s="33" t="s">
        <v>81</v>
      </c>
      <c r="C22" s="27"/>
      <c r="D22" s="28">
        <v>-3000</v>
      </c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>
        <f t="shared" si="1"/>
        <v>-750</v>
      </c>
      <c r="R22" s="27"/>
      <c r="S22" s="27"/>
      <c r="T22" s="27"/>
      <c r="U22" s="27"/>
      <c r="V22" s="27"/>
      <c r="W22" s="27"/>
    </row>
    <row r="23" spans="1:23" ht="15.75">
      <c r="A23" s="26" t="s">
        <v>72</v>
      </c>
      <c r="B23" s="33" t="s">
        <v>81</v>
      </c>
      <c r="C23" s="27"/>
      <c r="D23" s="28">
        <v>-7500</v>
      </c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>
        <f t="shared" si="1"/>
        <v>-1875</v>
      </c>
      <c r="R23" s="27"/>
      <c r="S23" s="27"/>
      <c r="T23" s="27"/>
      <c r="U23" s="27"/>
      <c r="V23" s="27"/>
      <c r="W23" s="27"/>
    </row>
    <row r="24" spans="1:46" ht="15.75">
      <c r="A24" s="36" t="s">
        <v>35</v>
      </c>
      <c r="B24" s="25"/>
      <c r="C24" s="24">
        <f>SUM(C15:C23)</f>
        <v>0</v>
      </c>
      <c r="D24" s="24">
        <f aca="true" t="shared" si="2" ref="D24:W24">SUM(D15:D23)</f>
        <v>-144950</v>
      </c>
      <c r="E24" s="24">
        <f t="shared" si="2"/>
        <v>0</v>
      </c>
      <c r="F24" s="24">
        <f t="shared" si="2"/>
        <v>0</v>
      </c>
      <c r="G24" s="24">
        <f t="shared" si="2"/>
        <v>0</v>
      </c>
      <c r="H24" s="24">
        <f t="shared" si="2"/>
        <v>0</v>
      </c>
      <c r="I24" s="24">
        <f t="shared" si="2"/>
        <v>0</v>
      </c>
      <c r="J24" s="24">
        <f t="shared" si="2"/>
        <v>0</v>
      </c>
      <c r="K24" s="24">
        <f t="shared" si="2"/>
        <v>0</v>
      </c>
      <c r="L24" s="24">
        <f t="shared" si="2"/>
        <v>0</v>
      </c>
      <c r="M24" s="24">
        <f t="shared" si="2"/>
        <v>0</v>
      </c>
      <c r="N24" s="24">
        <f t="shared" si="2"/>
        <v>0</v>
      </c>
      <c r="O24" s="24">
        <f t="shared" si="2"/>
        <v>0</v>
      </c>
      <c r="P24" s="24">
        <f t="shared" si="2"/>
        <v>0</v>
      </c>
      <c r="Q24" s="24">
        <f t="shared" si="2"/>
        <v>-36237.5</v>
      </c>
      <c r="R24" s="24">
        <f t="shared" si="2"/>
        <v>0</v>
      </c>
      <c r="S24" s="24">
        <f t="shared" si="2"/>
        <v>0</v>
      </c>
      <c r="T24" s="24">
        <f t="shared" si="2"/>
        <v>0</v>
      </c>
      <c r="U24" s="24">
        <f t="shared" si="2"/>
        <v>0</v>
      </c>
      <c r="V24" s="24">
        <f t="shared" si="2"/>
        <v>0</v>
      </c>
      <c r="W24" s="24">
        <f t="shared" si="2"/>
        <v>0</v>
      </c>
      <c r="X24" s="24">
        <f>SUM(C24:W24)</f>
        <v>-181187.5</v>
      </c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</row>
    <row r="25" spans="1:23" ht="15.75">
      <c r="A25" s="35" t="s">
        <v>52</v>
      </c>
      <c r="B25" s="34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</row>
    <row r="26" spans="1:23" s="129" customFormat="1" ht="15.75">
      <c r="A26" s="126" t="s">
        <v>84</v>
      </c>
      <c r="B26" s="130" t="s">
        <v>82</v>
      </c>
      <c r="C26" s="128"/>
      <c r="D26" s="128"/>
      <c r="E26" s="128">
        <v>-275000</v>
      </c>
      <c r="F26" s="128"/>
      <c r="G26" s="128"/>
      <c r="H26" s="128"/>
      <c r="I26" s="128"/>
      <c r="J26" s="128"/>
      <c r="K26" s="128"/>
      <c r="L26" s="128"/>
      <c r="M26" s="128"/>
      <c r="N26" s="128"/>
      <c r="O26" s="128"/>
      <c r="P26" s="128"/>
      <c r="Q26" s="128"/>
      <c r="R26" s="128">
        <f aca="true" t="shared" si="3" ref="R26:R31">$E26*0.25</f>
        <v>-68750</v>
      </c>
      <c r="S26" s="128"/>
      <c r="T26" s="128"/>
      <c r="U26" s="128"/>
      <c r="V26" s="128"/>
      <c r="W26" s="128"/>
    </row>
    <row r="27" spans="1:23" s="129" customFormat="1" ht="15.75">
      <c r="A27" s="126" t="s">
        <v>53</v>
      </c>
      <c r="B27" s="130" t="s">
        <v>82</v>
      </c>
      <c r="C27" s="128"/>
      <c r="D27" s="128"/>
      <c r="E27" s="128">
        <v>-66000</v>
      </c>
      <c r="F27" s="128"/>
      <c r="G27" s="128"/>
      <c r="H27" s="128"/>
      <c r="I27" s="128"/>
      <c r="J27" s="128"/>
      <c r="K27" s="128"/>
      <c r="L27" s="128"/>
      <c r="M27" s="128"/>
      <c r="N27" s="128"/>
      <c r="O27" s="128"/>
      <c r="P27" s="128"/>
      <c r="Q27" s="128"/>
      <c r="R27" s="128">
        <f t="shared" si="3"/>
        <v>-16500</v>
      </c>
      <c r="S27" s="128"/>
      <c r="T27" s="128"/>
      <c r="U27" s="128"/>
      <c r="V27" s="128"/>
      <c r="W27" s="128"/>
    </row>
    <row r="28" spans="1:23" s="129" customFormat="1" ht="15.75">
      <c r="A28" s="126" t="s">
        <v>85</v>
      </c>
      <c r="B28" s="130" t="s">
        <v>82</v>
      </c>
      <c r="C28" s="128"/>
      <c r="D28" s="128"/>
      <c r="E28" s="128">
        <v>-1650000</v>
      </c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P28" s="128"/>
      <c r="Q28" s="128"/>
      <c r="R28" s="128">
        <f t="shared" si="3"/>
        <v>-412500</v>
      </c>
      <c r="S28" s="128"/>
      <c r="T28" s="128"/>
      <c r="U28" s="128"/>
      <c r="V28" s="128"/>
      <c r="W28" s="128"/>
    </row>
    <row r="29" spans="1:23" s="129" customFormat="1" ht="15.75">
      <c r="A29" s="126" t="s">
        <v>54</v>
      </c>
      <c r="B29" s="130" t="s">
        <v>82</v>
      </c>
      <c r="C29" s="128"/>
      <c r="D29" s="128"/>
      <c r="E29" s="128">
        <v>-60000</v>
      </c>
      <c r="F29" s="128"/>
      <c r="G29" s="128"/>
      <c r="H29" s="128"/>
      <c r="I29" s="128"/>
      <c r="J29" s="128"/>
      <c r="K29" s="128"/>
      <c r="L29" s="128"/>
      <c r="M29" s="128"/>
      <c r="N29" s="128"/>
      <c r="O29" s="128"/>
      <c r="P29" s="128"/>
      <c r="Q29" s="128"/>
      <c r="R29" s="128">
        <f t="shared" si="3"/>
        <v>-15000</v>
      </c>
      <c r="S29" s="128"/>
      <c r="T29" s="128"/>
      <c r="U29" s="128"/>
      <c r="V29" s="128"/>
      <c r="W29" s="128"/>
    </row>
    <row r="30" spans="1:23" s="129" customFormat="1" ht="15.75">
      <c r="A30" s="126" t="s">
        <v>86</v>
      </c>
      <c r="B30" s="130" t="s">
        <v>82</v>
      </c>
      <c r="C30" s="128"/>
      <c r="D30" s="128"/>
      <c r="E30" s="128">
        <v>-49500</v>
      </c>
      <c r="F30" s="128"/>
      <c r="G30" s="128"/>
      <c r="H30" s="128"/>
      <c r="I30" s="128"/>
      <c r="J30" s="128"/>
      <c r="K30" s="128"/>
      <c r="L30" s="128"/>
      <c r="M30" s="128"/>
      <c r="N30" s="128"/>
      <c r="O30" s="128"/>
      <c r="P30" s="128"/>
      <c r="Q30" s="128"/>
      <c r="R30" s="128">
        <f t="shared" si="3"/>
        <v>-12375</v>
      </c>
      <c r="S30" s="128"/>
      <c r="T30" s="128"/>
      <c r="U30" s="128"/>
      <c r="V30" s="128"/>
      <c r="W30" s="128"/>
    </row>
    <row r="31" spans="1:23" s="129" customFormat="1" ht="15.75">
      <c r="A31" s="126" t="s">
        <v>88</v>
      </c>
      <c r="B31" s="130" t="s">
        <v>82</v>
      </c>
      <c r="C31" s="128"/>
      <c r="D31" s="128"/>
      <c r="E31" s="128">
        <v>-82500</v>
      </c>
      <c r="F31" s="128"/>
      <c r="G31" s="128"/>
      <c r="H31" s="128"/>
      <c r="I31" s="128"/>
      <c r="J31" s="128"/>
      <c r="K31" s="128"/>
      <c r="L31" s="128"/>
      <c r="M31" s="128"/>
      <c r="N31" s="128"/>
      <c r="O31" s="128"/>
      <c r="P31" s="128"/>
      <c r="Q31" s="128"/>
      <c r="R31" s="128">
        <f t="shared" si="3"/>
        <v>-20625</v>
      </c>
      <c r="S31" s="128"/>
      <c r="T31" s="128"/>
      <c r="U31" s="128"/>
      <c r="V31" s="128"/>
      <c r="W31" s="128"/>
    </row>
    <row r="32" spans="1:24" ht="15.75">
      <c r="A32" s="36" t="s">
        <v>35</v>
      </c>
      <c r="B32" s="25"/>
      <c r="C32" s="24">
        <f>SUM(C26:C31)</f>
        <v>0</v>
      </c>
      <c r="D32" s="24">
        <f aca="true" t="shared" si="4" ref="D32:W32">SUM(D26:D31)</f>
        <v>0</v>
      </c>
      <c r="E32" s="24">
        <f t="shared" si="4"/>
        <v>-2183000</v>
      </c>
      <c r="F32" s="24">
        <f t="shared" si="4"/>
        <v>0</v>
      </c>
      <c r="G32" s="24">
        <f t="shared" si="4"/>
        <v>0</v>
      </c>
      <c r="H32" s="24">
        <f t="shared" si="4"/>
        <v>0</v>
      </c>
      <c r="I32" s="24">
        <f t="shared" si="4"/>
        <v>0</v>
      </c>
      <c r="J32" s="24">
        <f t="shared" si="4"/>
        <v>0</v>
      </c>
      <c r="K32" s="24">
        <f t="shared" si="4"/>
        <v>0</v>
      </c>
      <c r="L32" s="24">
        <f t="shared" si="4"/>
        <v>0</v>
      </c>
      <c r="M32" s="24">
        <f t="shared" si="4"/>
        <v>0</v>
      </c>
      <c r="N32" s="24">
        <f t="shared" si="4"/>
        <v>0</v>
      </c>
      <c r="O32" s="24">
        <f t="shared" si="4"/>
        <v>0</v>
      </c>
      <c r="P32" s="24">
        <f t="shared" si="4"/>
        <v>0</v>
      </c>
      <c r="Q32" s="24">
        <f t="shared" si="4"/>
        <v>0</v>
      </c>
      <c r="R32" s="24">
        <f t="shared" si="4"/>
        <v>-545750</v>
      </c>
      <c r="S32" s="24">
        <f t="shared" si="4"/>
        <v>0</v>
      </c>
      <c r="T32" s="24">
        <f t="shared" si="4"/>
        <v>0</v>
      </c>
      <c r="U32" s="24">
        <f t="shared" si="4"/>
        <v>0</v>
      </c>
      <c r="V32" s="24">
        <f t="shared" si="4"/>
        <v>0</v>
      </c>
      <c r="W32" s="24">
        <f t="shared" si="4"/>
        <v>0</v>
      </c>
      <c r="X32" s="49">
        <f>SUM(C32:W32)</f>
        <v>-2728750</v>
      </c>
    </row>
    <row r="33" spans="1:23" ht="15.75">
      <c r="A33" s="35" t="s">
        <v>34</v>
      </c>
      <c r="B33" s="34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</row>
    <row r="34" spans="1:23" ht="15.75">
      <c r="A34" s="23" t="s">
        <v>56</v>
      </c>
      <c r="B34" s="33" t="s">
        <v>81</v>
      </c>
      <c r="C34" s="27"/>
      <c r="D34" s="27"/>
      <c r="E34" s="27"/>
      <c r="F34" s="27">
        <v>-2000</v>
      </c>
      <c r="G34" s="27">
        <v>-2000</v>
      </c>
      <c r="H34" s="27">
        <v>-2000</v>
      </c>
      <c r="I34" s="27">
        <v>-2000</v>
      </c>
      <c r="J34" s="27">
        <v>-2000</v>
      </c>
      <c r="K34" s="27">
        <v>-2000</v>
      </c>
      <c r="L34" s="27">
        <v>-2000</v>
      </c>
      <c r="M34" s="27">
        <v>-2000</v>
      </c>
      <c r="N34" s="27">
        <v>-2000</v>
      </c>
      <c r="O34" s="27">
        <v>-2000</v>
      </c>
      <c r="P34" s="27">
        <v>-2000</v>
      </c>
      <c r="Q34" s="27">
        <v>-2000</v>
      </c>
      <c r="R34" s="27">
        <v>-2000</v>
      </c>
      <c r="S34" s="27">
        <v>-2000</v>
      </c>
      <c r="T34" s="27">
        <v>-2000</v>
      </c>
      <c r="U34" s="27">
        <v>-2000</v>
      </c>
      <c r="V34" s="27">
        <v>-2000</v>
      </c>
      <c r="W34" s="27">
        <v>-2000</v>
      </c>
    </row>
    <row r="35" spans="1:23" ht="15.75">
      <c r="A35" s="23" t="s">
        <v>57</v>
      </c>
      <c r="B35" s="33" t="s">
        <v>81</v>
      </c>
      <c r="C35" s="27"/>
      <c r="D35" s="27"/>
      <c r="E35" s="27"/>
      <c r="F35" s="27">
        <v>-4000</v>
      </c>
      <c r="G35" s="27">
        <v>-4000</v>
      </c>
      <c r="H35" s="27">
        <v>-4000</v>
      </c>
      <c r="I35" s="27">
        <v>-4000</v>
      </c>
      <c r="J35" s="27">
        <v>-4000</v>
      </c>
      <c r="K35" s="27">
        <v>-4000</v>
      </c>
      <c r="L35" s="27">
        <v>-4000</v>
      </c>
      <c r="M35" s="27">
        <v>-4000</v>
      </c>
      <c r="N35" s="27">
        <v>-4000</v>
      </c>
      <c r="O35" s="27">
        <v>-4000</v>
      </c>
      <c r="P35" s="27">
        <v>-4000</v>
      </c>
      <c r="Q35" s="27">
        <v>-4000</v>
      </c>
      <c r="R35" s="27">
        <v>-4000</v>
      </c>
      <c r="S35" s="27">
        <v>-4000</v>
      </c>
      <c r="T35" s="27">
        <v>-4000</v>
      </c>
      <c r="U35" s="27">
        <v>-4000</v>
      </c>
      <c r="V35" s="27">
        <v>-4000</v>
      </c>
      <c r="W35" s="27">
        <v>-4000</v>
      </c>
    </row>
    <row r="36" spans="1:23" ht="15" customHeight="1">
      <c r="A36" s="23" t="s">
        <v>60</v>
      </c>
      <c r="B36" s="33" t="s">
        <v>81</v>
      </c>
      <c r="C36" s="27"/>
      <c r="D36" s="27"/>
      <c r="E36" s="27"/>
      <c r="F36" s="27">
        <v>-2500</v>
      </c>
      <c r="G36" s="27">
        <v>-2500</v>
      </c>
      <c r="H36" s="27">
        <v>-2500</v>
      </c>
      <c r="I36" s="27">
        <v>-2500</v>
      </c>
      <c r="J36" s="27">
        <v>-2500</v>
      </c>
      <c r="K36" s="27">
        <v>-2500</v>
      </c>
      <c r="L36" s="27">
        <v>-2500</v>
      </c>
      <c r="M36" s="27">
        <v>-2500</v>
      </c>
      <c r="N36" s="27">
        <v>-2500</v>
      </c>
      <c r="O36" s="27">
        <v>-2500</v>
      </c>
      <c r="P36" s="27">
        <v>-2500</v>
      </c>
      <c r="Q36" s="27">
        <v>-2500</v>
      </c>
      <c r="R36" s="27">
        <v>-2500</v>
      </c>
      <c r="S36" s="27">
        <v>-2500</v>
      </c>
      <c r="T36" s="27">
        <v>-2500</v>
      </c>
      <c r="U36" s="27">
        <v>-2500</v>
      </c>
      <c r="V36" s="27">
        <v>-2500</v>
      </c>
      <c r="W36" s="27">
        <v>-2500</v>
      </c>
    </row>
    <row r="37" spans="1:23" ht="15.75">
      <c r="A37" s="23" t="s">
        <v>61</v>
      </c>
      <c r="B37" s="33" t="s">
        <v>81</v>
      </c>
      <c r="C37" s="27"/>
      <c r="D37" s="27"/>
      <c r="E37" s="27"/>
      <c r="F37" s="27"/>
      <c r="G37" s="27"/>
      <c r="H37" s="27"/>
      <c r="I37" s="27"/>
      <c r="J37" s="27">
        <v>-15000</v>
      </c>
      <c r="K37" s="27"/>
      <c r="L37" s="27"/>
      <c r="M37" s="27"/>
      <c r="N37" s="27"/>
      <c r="O37" s="27">
        <v>-15000</v>
      </c>
      <c r="P37" s="27"/>
      <c r="Q37" s="27"/>
      <c r="R37" s="27"/>
      <c r="S37" s="27"/>
      <c r="T37" s="27">
        <v>-15000</v>
      </c>
      <c r="U37" s="27"/>
      <c r="V37" s="27"/>
      <c r="W37" s="27"/>
    </row>
    <row r="38" spans="1:23" ht="15.75">
      <c r="A38" s="23" t="s">
        <v>62</v>
      </c>
      <c r="B38" s="33" t="s">
        <v>81</v>
      </c>
      <c r="C38" s="27"/>
      <c r="D38" s="27"/>
      <c r="E38" s="27"/>
      <c r="F38" s="27">
        <v>-1250</v>
      </c>
      <c r="G38" s="27">
        <v>-1250</v>
      </c>
      <c r="H38" s="27">
        <v>-1250</v>
      </c>
      <c r="I38" s="27">
        <v>-1250</v>
      </c>
      <c r="J38" s="27">
        <v>-1250</v>
      </c>
      <c r="K38" s="27">
        <v>-1250</v>
      </c>
      <c r="L38" s="27">
        <v>-1250</v>
      </c>
      <c r="M38" s="27">
        <v>-1250</v>
      </c>
      <c r="N38" s="27">
        <v>-1250</v>
      </c>
      <c r="O38" s="27">
        <v>-1250</v>
      </c>
      <c r="P38" s="27">
        <v>-1250</v>
      </c>
      <c r="Q38" s="27">
        <v>-1250</v>
      </c>
      <c r="R38" s="27">
        <v>-1250</v>
      </c>
      <c r="S38" s="27">
        <v>-1250</v>
      </c>
      <c r="T38" s="27">
        <v>-1250</v>
      </c>
      <c r="U38" s="27">
        <v>-1250</v>
      </c>
      <c r="V38" s="27">
        <v>-1250</v>
      </c>
      <c r="W38" s="27">
        <v>-1250</v>
      </c>
    </row>
    <row r="39" spans="1:23" ht="15.75">
      <c r="A39" s="23" t="s">
        <v>55</v>
      </c>
      <c r="B39" s="33" t="s">
        <v>81</v>
      </c>
      <c r="C39" s="27"/>
      <c r="D39" s="27"/>
      <c r="E39" s="27"/>
      <c r="F39" s="27">
        <v>-2500</v>
      </c>
      <c r="G39" s="27">
        <v>-2500</v>
      </c>
      <c r="H39" s="27">
        <v>-2500</v>
      </c>
      <c r="I39" s="27">
        <v>-2500</v>
      </c>
      <c r="J39" s="27">
        <v>-2500</v>
      </c>
      <c r="K39" s="27">
        <v>-2500</v>
      </c>
      <c r="L39" s="27">
        <v>-2500</v>
      </c>
      <c r="M39" s="27">
        <v>-2500</v>
      </c>
      <c r="N39" s="27">
        <v>-2500</v>
      </c>
      <c r="O39" s="27">
        <v>-2500</v>
      </c>
      <c r="P39" s="27">
        <v>-2500</v>
      </c>
      <c r="Q39" s="27">
        <v>-2500</v>
      </c>
      <c r="R39" s="27">
        <v>-2500</v>
      </c>
      <c r="S39" s="27">
        <v>-2500</v>
      </c>
      <c r="T39" s="27">
        <v>-2500</v>
      </c>
      <c r="U39" s="27">
        <v>-2500</v>
      </c>
      <c r="V39" s="27">
        <v>-2500</v>
      </c>
      <c r="W39" s="27">
        <v>-2500</v>
      </c>
    </row>
    <row r="40" spans="1:23" ht="15.75">
      <c r="A40" s="23" t="s">
        <v>58</v>
      </c>
      <c r="B40" s="33" t="s">
        <v>81</v>
      </c>
      <c r="C40" s="27"/>
      <c r="D40" s="27"/>
      <c r="E40" s="27"/>
      <c r="F40" s="27">
        <v>-25000</v>
      </c>
      <c r="G40" s="27">
        <v>-25000</v>
      </c>
      <c r="H40" s="27">
        <v>-25000</v>
      </c>
      <c r="I40" s="27">
        <v>-25000</v>
      </c>
      <c r="J40" s="27">
        <v>-25000</v>
      </c>
      <c r="K40" s="27">
        <v>-25000</v>
      </c>
      <c r="L40" s="27">
        <v>-25000</v>
      </c>
      <c r="M40" s="27">
        <v>-25000</v>
      </c>
      <c r="N40" s="27">
        <v>-25000</v>
      </c>
      <c r="O40" s="27">
        <v>-25000</v>
      </c>
      <c r="P40" s="27">
        <v>-25000</v>
      </c>
      <c r="Q40" s="27">
        <v>-25000</v>
      </c>
      <c r="R40" s="27">
        <v>-25000</v>
      </c>
      <c r="S40" s="27">
        <v>-25000</v>
      </c>
      <c r="T40" s="27">
        <v>-25000</v>
      </c>
      <c r="U40" s="27">
        <v>-25000</v>
      </c>
      <c r="V40" s="27">
        <v>-25000</v>
      </c>
      <c r="W40" s="27">
        <v>-25000</v>
      </c>
    </row>
    <row r="41" spans="1:23" ht="15.75">
      <c r="A41" s="23" t="s">
        <v>59</v>
      </c>
      <c r="B41" s="33" t="s">
        <v>81</v>
      </c>
      <c r="C41" s="27"/>
      <c r="D41" s="27"/>
      <c r="E41" s="27"/>
      <c r="F41" s="27">
        <v>-5500</v>
      </c>
      <c r="G41" s="27">
        <v>-5500</v>
      </c>
      <c r="H41" s="27">
        <v>-5500</v>
      </c>
      <c r="I41" s="27">
        <v>-5500</v>
      </c>
      <c r="J41" s="27">
        <v>-5500</v>
      </c>
      <c r="K41" s="27">
        <v>-5500</v>
      </c>
      <c r="L41" s="27">
        <v>-5500</v>
      </c>
      <c r="M41" s="27">
        <v>-5500</v>
      </c>
      <c r="N41" s="27">
        <v>-5500</v>
      </c>
      <c r="O41" s="27">
        <v>-5500</v>
      </c>
      <c r="P41" s="27">
        <v>-5500</v>
      </c>
      <c r="Q41" s="27">
        <v>-5500</v>
      </c>
      <c r="R41" s="27">
        <v>-5500</v>
      </c>
      <c r="S41" s="27">
        <v>-5500</v>
      </c>
      <c r="T41" s="27">
        <v>-5500</v>
      </c>
      <c r="U41" s="27">
        <v>-5500</v>
      </c>
      <c r="V41" s="27">
        <v>-5500</v>
      </c>
      <c r="W41" s="27">
        <v>-5500</v>
      </c>
    </row>
    <row r="42" spans="1:24" ht="15.75">
      <c r="A42" s="36" t="s">
        <v>35</v>
      </c>
      <c r="B42" s="25"/>
      <c r="C42" s="24">
        <f aca="true" t="shared" si="5" ref="C42:W42">SUM(C34:C41)</f>
        <v>0</v>
      </c>
      <c r="D42" s="24">
        <f t="shared" si="5"/>
        <v>0</v>
      </c>
      <c r="E42" s="24">
        <f t="shared" si="5"/>
        <v>0</v>
      </c>
      <c r="F42" s="24">
        <f t="shared" si="5"/>
        <v>-42750</v>
      </c>
      <c r="G42" s="24">
        <f t="shared" si="5"/>
        <v>-42750</v>
      </c>
      <c r="H42" s="24">
        <f t="shared" si="5"/>
        <v>-42750</v>
      </c>
      <c r="I42" s="24">
        <f t="shared" si="5"/>
        <v>-42750</v>
      </c>
      <c r="J42" s="24">
        <f t="shared" si="5"/>
        <v>-57750</v>
      </c>
      <c r="K42" s="24">
        <f t="shared" si="5"/>
        <v>-42750</v>
      </c>
      <c r="L42" s="24">
        <f t="shared" si="5"/>
        <v>-42750</v>
      </c>
      <c r="M42" s="24">
        <f t="shared" si="5"/>
        <v>-42750</v>
      </c>
      <c r="N42" s="24">
        <f t="shared" si="5"/>
        <v>-42750</v>
      </c>
      <c r="O42" s="24">
        <f t="shared" si="5"/>
        <v>-57750</v>
      </c>
      <c r="P42" s="24">
        <f t="shared" si="5"/>
        <v>-42750</v>
      </c>
      <c r="Q42" s="24">
        <f t="shared" si="5"/>
        <v>-42750</v>
      </c>
      <c r="R42" s="24">
        <f t="shared" si="5"/>
        <v>-42750</v>
      </c>
      <c r="S42" s="24">
        <f t="shared" si="5"/>
        <v>-42750</v>
      </c>
      <c r="T42" s="24">
        <f t="shared" si="5"/>
        <v>-57750</v>
      </c>
      <c r="U42" s="24">
        <f t="shared" si="5"/>
        <v>-42750</v>
      </c>
      <c r="V42" s="24">
        <f t="shared" si="5"/>
        <v>-42750</v>
      </c>
      <c r="W42" s="24">
        <f t="shared" si="5"/>
        <v>-42750</v>
      </c>
      <c r="X42" s="49">
        <f>SUM(C42:W42)</f>
        <v>-814500</v>
      </c>
    </row>
    <row r="43" spans="1:23" ht="15.75">
      <c r="A43" s="35" t="s">
        <v>63</v>
      </c>
      <c r="B43" s="34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</row>
    <row r="44" spans="1:23" ht="15.75">
      <c r="A44" s="26" t="s">
        <v>77</v>
      </c>
      <c r="B44" s="33" t="s">
        <v>81</v>
      </c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</row>
    <row r="45" spans="1:23" ht="15.75">
      <c r="A45" s="26" t="s">
        <v>87</v>
      </c>
      <c r="B45" s="33" t="s">
        <v>81</v>
      </c>
      <c r="C45" s="27"/>
      <c r="D45" s="27"/>
      <c r="E45" s="27"/>
      <c r="F45" s="27">
        <f>-1985000*0.025</f>
        <v>-49625</v>
      </c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</row>
    <row r="46" spans="1:23" ht="15.75">
      <c r="A46" s="23" t="s">
        <v>64</v>
      </c>
      <c r="B46" s="33" t="s">
        <v>81</v>
      </c>
      <c r="C46" s="27"/>
      <c r="D46" s="27"/>
      <c r="E46" s="27"/>
      <c r="F46" s="27">
        <v>-4500</v>
      </c>
      <c r="G46" s="27">
        <f aca="true" t="shared" si="6" ref="G46:G51">F46</f>
        <v>-4500</v>
      </c>
      <c r="H46" s="27">
        <f aca="true" t="shared" si="7" ref="H46:W51">G46</f>
        <v>-4500</v>
      </c>
      <c r="I46" s="27">
        <f t="shared" si="7"/>
        <v>-4500</v>
      </c>
      <c r="J46" s="27">
        <f t="shared" si="7"/>
        <v>-4500</v>
      </c>
      <c r="K46" s="27">
        <f t="shared" si="7"/>
        <v>-4500</v>
      </c>
      <c r="L46" s="27">
        <f t="shared" si="7"/>
        <v>-4500</v>
      </c>
      <c r="M46" s="27">
        <f t="shared" si="7"/>
        <v>-4500</v>
      </c>
      <c r="N46" s="27">
        <f t="shared" si="7"/>
        <v>-4500</v>
      </c>
      <c r="O46" s="27">
        <f t="shared" si="7"/>
        <v>-4500</v>
      </c>
      <c r="P46" s="27">
        <f t="shared" si="7"/>
        <v>-4500</v>
      </c>
      <c r="Q46" s="27">
        <f t="shared" si="7"/>
        <v>-4500</v>
      </c>
      <c r="R46" s="27">
        <f t="shared" si="7"/>
        <v>-4500</v>
      </c>
      <c r="S46" s="27">
        <f t="shared" si="7"/>
        <v>-4500</v>
      </c>
      <c r="T46" s="27">
        <f t="shared" si="7"/>
        <v>-4500</v>
      </c>
      <c r="U46" s="27">
        <f t="shared" si="7"/>
        <v>-4500</v>
      </c>
      <c r="V46" s="27">
        <f t="shared" si="7"/>
        <v>-4500</v>
      </c>
      <c r="W46" s="27">
        <f t="shared" si="7"/>
        <v>-4500</v>
      </c>
    </row>
    <row r="47" spans="1:23" ht="15.75">
      <c r="A47" s="23" t="s">
        <v>65</v>
      </c>
      <c r="B47" s="33" t="s">
        <v>81</v>
      </c>
      <c r="C47" s="27"/>
      <c r="D47" s="27"/>
      <c r="E47" s="27"/>
      <c r="F47" s="27">
        <f>-55000*2</f>
        <v>-110000</v>
      </c>
      <c r="G47" s="27">
        <f t="shared" si="6"/>
        <v>-110000</v>
      </c>
      <c r="H47" s="27">
        <f aca="true" t="shared" si="8" ref="H47:V47">G47</f>
        <v>-110000</v>
      </c>
      <c r="I47" s="27">
        <f t="shared" si="8"/>
        <v>-110000</v>
      </c>
      <c r="J47" s="27">
        <f t="shared" si="8"/>
        <v>-110000</v>
      </c>
      <c r="K47" s="27">
        <f t="shared" si="8"/>
        <v>-110000</v>
      </c>
      <c r="L47" s="27">
        <f t="shared" si="8"/>
        <v>-110000</v>
      </c>
      <c r="M47" s="27">
        <f t="shared" si="8"/>
        <v>-110000</v>
      </c>
      <c r="N47" s="27">
        <f t="shared" si="8"/>
        <v>-110000</v>
      </c>
      <c r="O47" s="27">
        <f t="shared" si="8"/>
        <v>-110000</v>
      </c>
      <c r="P47" s="27">
        <f t="shared" si="8"/>
        <v>-110000</v>
      </c>
      <c r="Q47" s="27">
        <f t="shared" si="8"/>
        <v>-110000</v>
      </c>
      <c r="R47" s="27">
        <f t="shared" si="8"/>
        <v>-110000</v>
      </c>
      <c r="S47" s="27">
        <f t="shared" si="8"/>
        <v>-110000</v>
      </c>
      <c r="T47" s="27">
        <f t="shared" si="8"/>
        <v>-110000</v>
      </c>
      <c r="U47" s="27">
        <f t="shared" si="8"/>
        <v>-110000</v>
      </c>
      <c r="V47" s="27">
        <f t="shared" si="8"/>
        <v>-110000</v>
      </c>
      <c r="W47" s="27">
        <f t="shared" si="7"/>
        <v>-110000</v>
      </c>
    </row>
    <row r="48" spans="1:23" ht="15.75">
      <c r="A48" s="23" t="s">
        <v>66</v>
      </c>
      <c r="B48" s="33" t="s">
        <v>81</v>
      </c>
      <c r="C48" s="27"/>
      <c r="D48" s="27"/>
      <c r="E48" s="27"/>
      <c r="F48" s="27">
        <v>-9000</v>
      </c>
      <c r="G48" s="27">
        <f t="shared" si="6"/>
        <v>-9000</v>
      </c>
      <c r="H48" s="27">
        <f t="shared" si="7"/>
        <v>-9000</v>
      </c>
      <c r="I48" s="27">
        <f t="shared" si="7"/>
        <v>-9000</v>
      </c>
      <c r="J48" s="27">
        <f t="shared" si="7"/>
        <v>-9000</v>
      </c>
      <c r="K48" s="27">
        <f t="shared" si="7"/>
        <v>-9000</v>
      </c>
      <c r="L48" s="27">
        <f t="shared" si="7"/>
        <v>-9000</v>
      </c>
      <c r="M48" s="27">
        <f t="shared" si="7"/>
        <v>-9000</v>
      </c>
      <c r="N48" s="27">
        <f t="shared" si="7"/>
        <v>-9000</v>
      </c>
      <c r="O48" s="27">
        <f t="shared" si="7"/>
        <v>-9000</v>
      </c>
      <c r="P48" s="27">
        <f t="shared" si="7"/>
        <v>-9000</v>
      </c>
      <c r="Q48" s="27">
        <f t="shared" si="7"/>
        <v>-9000</v>
      </c>
      <c r="R48" s="27">
        <f t="shared" si="7"/>
        <v>-9000</v>
      </c>
      <c r="S48" s="27">
        <f t="shared" si="7"/>
        <v>-9000</v>
      </c>
      <c r="T48" s="27">
        <f t="shared" si="7"/>
        <v>-9000</v>
      </c>
      <c r="U48" s="27">
        <f t="shared" si="7"/>
        <v>-9000</v>
      </c>
      <c r="V48" s="27">
        <f t="shared" si="7"/>
        <v>-9000</v>
      </c>
      <c r="W48" s="27">
        <f t="shared" si="7"/>
        <v>-9000</v>
      </c>
    </row>
    <row r="49" spans="1:23" ht="15.75">
      <c r="A49" s="26" t="s">
        <v>76</v>
      </c>
      <c r="B49" s="33" t="s">
        <v>81</v>
      </c>
      <c r="C49" s="27"/>
      <c r="D49" s="27"/>
      <c r="E49" s="27"/>
      <c r="F49" s="27">
        <f>(-1985000*0.05)+(-198500*0.08)</f>
        <v>-115130</v>
      </c>
      <c r="G49" s="27">
        <f t="shared" si="6"/>
        <v>-115130</v>
      </c>
      <c r="H49" s="27">
        <f t="shared" si="7"/>
        <v>-115130</v>
      </c>
      <c r="I49" s="27">
        <f t="shared" si="7"/>
        <v>-115130</v>
      </c>
      <c r="J49" s="27">
        <f t="shared" si="7"/>
        <v>-115130</v>
      </c>
      <c r="K49" s="27">
        <f t="shared" si="7"/>
        <v>-115130</v>
      </c>
      <c r="L49" s="27">
        <f t="shared" si="7"/>
        <v>-115130</v>
      </c>
      <c r="M49" s="27">
        <f>L49</f>
        <v>-115130</v>
      </c>
      <c r="N49" s="27">
        <f t="shared" si="7"/>
        <v>-115130</v>
      </c>
      <c r="O49" s="27">
        <f t="shared" si="7"/>
        <v>-115130</v>
      </c>
      <c r="P49" s="27">
        <f t="shared" si="7"/>
        <v>-115130</v>
      </c>
      <c r="Q49" s="27">
        <f t="shared" si="7"/>
        <v>-115130</v>
      </c>
      <c r="R49" s="27">
        <f>Q49+(-545750*0.05)+(-545750*0.08)</f>
        <v>-186077.5</v>
      </c>
      <c r="S49" s="27">
        <f t="shared" si="7"/>
        <v>-186077.5</v>
      </c>
      <c r="T49" s="27">
        <f t="shared" si="7"/>
        <v>-186077.5</v>
      </c>
      <c r="U49" s="27">
        <f t="shared" si="7"/>
        <v>-186077.5</v>
      </c>
      <c r="V49" s="27">
        <f t="shared" si="7"/>
        <v>-186077.5</v>
      </c>
      <c r="W49" s="27">
        <f t="shared" si="7"/>
        <v>-186077.5</v>
      </c>
    </row>
    <row r="50" spans="1:23" ht="15.75">
      <c r="A50" s="23" t="s">
        <v>67</v>
      </c>
      <c r="B50" s="33" t="s">
        <v>81</v>
      </c>
      <c r="C50" s="27"/>
      <c r="D50" s="27"/>
      <c r="E50" s="27"/>
      <c r="F50" s="27">
        <v>-1500</v>
      </c>
      <c r="G50" s="27">
        <f t="shared" si="6"/>
        <v>-1500</v>
      </c>
      <c r="H50" s="27">
        <f t="shared" si="7"/>
        <v>-1500</v>
      </c>
      <c r="I50" s="27">
        <f t="shared" si="7"/>
        <v>-1500</v>
      </c>
      <c r="J50" s="27">
        <f t="shared" si="7"/>
        <v>-1500</v>
      </c>
      <c r="K50" s="27">
        <f t="shared" si="7"/>
        <v>-1500</v>
      </c>
      <c r="L50" s="27">
        <f t="shared" si="7"/>
        <v>-1500</v>
      </c>
      <c r="M50" s="27">
        <f t="shared" si="7"/>
        <v>-1500</v>
      </c>
      <c r="N50" s="27">
        <f t="shared" si="7"/>
        <v>-1500</v>
      </c>
      <c r="O50" s="27">
        <f t="shared" si="7"/>
        <v>-1500</v>
      </c>
      <c r="P50" s="27">
        <f t="shared" si="7"/>
        <v>-1500</v>
      </c>
      <c r="Q50" s="27">
        <f t="shared" si="7"/>
        <v>-1500</v>
      </c>
      <c r="R50" s="27">
        <f t="shared" si="7"/>
        <v>-1500</v>
      </c>
      <c r="S50" s="27">
        <f t="shared" si="7"/>
        <v>-1500</v>
      </c>
      <c r="T50" s="27">
        <f t="shared" si="7"/>
        <v>-1500</v>
      </c>
      <c r="U50" s="27">
        <f t="shared" si="7"/>
        <v>-1500</v>
      </c>
      <c r="V50" s="27">
        <f t="shared" si="7"/>
        <v>-1500</v>
      </c>
      <c r="W50" s="27">
        <f t="shared" si="7"/>
        <v>-1500</v>
      </c>
    </row>
    <row r="51" spans="1:23" ht="15.75">
      <c r="A51" s="26" t="s">
        <v>78</v>
      </c>
      <c r="B51" s="33" t="s">
        <v>81</v>
      </c>
      <c r="C51" s="27"/>
      <c r="D51" s="27"/>
      <c r="E51" s="27"/>
      <c r="F51" s="27">
        <f>-48800+-15000</f>
        <v>-63800</v>
      </c>
      <c r="G51" s="27">
        <f t="shared" si="6"/>
        <v>-63800</v>
      </c>
      <c r="H51" s="27">
        <f t="shared" si="7"/>
        <v>-63800</v>
      </c>
      <c r="I51" s="27">
        <f t="shared" si="7"/>
        <v>-63800</v>
      </c>
      <c r="J51" s="27">
        <f t="shared" si="7"/>
        <v>-63800</v>
      </c>
      <c r="K51" s="27">
        <f t="shared" si="7"/>
        <v>-63800</v>
      </c>
      <c r="L51" s="27">
        <f t="shared" si="7"/>
        <v>-63800</v>
      </c>
      <c r="M51" s="27">
        <f t="shared" si="7"/>
        <v>-63800</v>
      </c>
      <c r="N51" s="27">
        <f t="shared" si="7"/>
        <v>-63800</v>
      </c>
      <c r="O51" s="27">
        <f t="shared" si="7"/>
        <v>-63800</v>
      </c>
      <c r="P51" s="27">
        <f t="shared" si="7"/>
        <v>-63800</v>
      </c>
      <c r="Q51" s="27">
        <f t="shared" si="7"/>
        <v>-63800</v>
      </c>
      <c r="R51" s="27">
        <f t="shared" si="7"/>
        <v>-63800</v>
      </c>
      <c r="S51" s="27">
        <f t="shared" si="7"/>
        <v>-63800</v>
      </c>
      <c r="T51" s="27">
        <f t="shared" si="7"/>
        <v>-63800</v>
      </c>
      <c r="U51" s="27">
        <f t="shared" si="7"/>
        <v>-63800</v>
      </c>
      <c r="V51" s="27">
        <f t="shared" si="7"/>
        <v>-63800</v>
      </c>
      <c r="W51" s="27">
        <f t="shared" si="7"/>
        <v>-63800</v>
      </c>
    </row>
    <row r="52" spans="1:24" ht="15.75">
      <c r="A52" s="36" t="s">
        <v>35</v>
      </c>
      <c r="B52" s="25"/>
      <c r="C52" s="24">
        <f>SUM(C44:C51)</f>
        <v>0</v>
      </c>
      <c r="D52" s="24">
        <f aca="true" t="shared" si="9" ref="D52:W52">SUM(D44:D51)</f>
        <v>0</v>
      </c>
      <c r="E52" s="24">
        <f t="shared" si="9"/>
        <v>0</v>
      </c>
      <c r="F52" s="24">
        <f t="shared" si="9"/>
        <v>-353555</v>
      </c>
      <c r="G52" s="24">
        <f t="shared" si="9"/>
        <v>-303930</v>
      </c>
      <c r="H52" s="24">
        <f t="shared" si="9"/>
        <v>-303930</v>
      </c>
      <c r="I52" s="24">
        <f t="shared" si="9"/>
        <v>-303930</v>
      </c>
      <c r="J52" s="24">
        <f t="shared" si="9"/>
        <v>-303930</v>
      </c>
      <c r="K52" s="24">
        <f t="shared" si="9"/>
        <v>-303930</v>
      </c>
      <c r="L52" s="24">
        <f t="shared" si="9"/>
        <v>-303930</v>
      </c>
      <c r="M52" s="24">
        <f t="shared" si="9"/>
        <v>-303930</v>
      </c>
      <c r="N52" s="24">
        <f t="shared" si="9"/>
        <v>-303930</v>
      </c>
      <c r="O52" s="24">
        <f t="shared" si="9"/>
        <v>-303930</v>
      </c>
      <c r="P52" s="24">
        <f t="shared" si="9"/>
        <v>-303930</v>
      </c>
      <c r="Q52" s="24">
        <f t="shared" si="9"/>
        <v>-303930</v>
      </c>
      <c r="R52" s="24">
        <f t="shared" si="9"/>
        <v>-374877.5</v>
      </c>
      <c r="S52" s="24">
        <f t="shared" si="9"/>
        <v>-374877.5</v>
      </c>
      <c r="T52" s="24">
        <f t="shared" si="9"/>
        <v>-374877.5</v>
      </c>
      <c r="U52" s="24">
        <f t="shared" si="9"/>
        <v>-374877.5</v>
      </c>
      <c r="V52" s="24">
        <f t="shared" si="9"/>
        <v>-374877.5</v>
      </c>
      <c r="W52" s="24">
        <f t="shared" si="9"/>
        <v>-374877.5</v>
      </c>
      <c r="X52" s="49">
        <f>SUM(C52:W52)</f>
        <v>-5946050</v>
      </c>
    </row>
    <row r="55" spans="1:23" s="132" customFormat="1" ht="15.75">
      <c r="A55" s="131" t="s">
        <v>109</v>
      </c>
      <c r="C55" s="133">
        <f>C15+C16+C17+C18+C26+C27+C28+C29+C30+C31</f>
        <v>0</v>
      </c>
      <c r="D55" s="133">
        <f aca="true" t="shared" si="10" ref="D55:W55">D15+D16+D17+D18+D26+D27+D28+D29+D30+D31</f>
        <v>-54450</v>
      </c>
      <c r="E55" s="133">
        <f t="shared" si="10"/>
        <v>-2183000</v>
      </c>
      <c r="F55" s="133">
        <f t="shared" si="10"/>
        <v>0</v>
      </c>
      <c r="G55" s="133">
        <f t="shared" si="10"/>
        <v>0</v>
      </c>
      <c r="H55" s="133">
        <f t="shared" si="10"/>
        <v>0</v>
      </c>
      <c r="I55" s="133">
        <f t="shared" si="10"/>
        <v>0</v>
      </c>
      <c r="J55" s="133">
        <f t="shared" si="10"/>
        <v>0</v>
      </c>
      <c r="K55" s="133">
        <f t="shared" si="10"/>
        <v>0</v>
      </c>
      <c r="L55" s="133">
        <f t="shared" si="10"/>
        <v>0</v>
      </c>
      <c r="M55" s="133">
        <f t="shared" si="10"/>
        <v>0</v>
      </c>
      <c r="N55" s="133">
        <f t="shared" si="10"/>
        <v>0</v>
      </c>
      <c r="O55" s="133">
        <f t="shared" si="10"/>
        <v>0</v>
      </c>
      <c r="P55" s="133">
        <f t="shared" si="10"/>
        <v>0</v>
      </c>
      <c r="Q55" s="133">
        <f t="shared" si="10"/>
        <v>-13612.5</v>
      </c>
      <c r="R55" s="133">
        <f t="shared" si="10"/>
        <v>-545750</v>
      </c>
      <c r="S55" s="133">
        <f t="shared" si="10"/>
        <v>0</v>
      </c>
      <c r="T55" s="133">
        <f t="shared" si="10"/>
        <v>0</v>
      </c>
      <c r="U55" s="133">
        <f t="shared" si="10"/>
        <v>0</v>
      </c>
      <c r="V55" s="133">
        <f t="shared" si="10"/>
        <v>0</v>
      </c>
      <c r="W55" s="133">
        <f t="shared" si="10"/>
        <v>0</v>
      </c>
    </row>
    <row r="56" spans="1:24" ht="15.75">
      <c r="A56" s="36" t="s">
        <v>110</v>
      </c>
      <c r="C56" s="65">
        <f>C9+C10+C11+C12+C19+C20+C21+C22+C23+C34+C35+C36+C37+C38+C39+C40+C41+C44+C45+C46+C47+C48+C49+C50+C51</f>
        <v>-17700</v>
      </c>
      <c r="D56" s="65">
        <f aca="true" t="shared" si="11" ref="D56:W56">D9+D10+D11+D12+D19+D20+D21+D22+D23+D34+D35+D36+D37+D38+D39+D40+D41+D44+D45+D46+D47+D48+D49+D50+D51</f>
        <v>-90500</v>
      </c>
      <c r="E56" s="65">
        <f t="shared" si="11"/>
        <v>0</v>
      </c>
      <c r="F56" s="65">
        <f t="shared" si="11"/>
        <v>-396305</v>
      </c>
      <c r="G56" s="65">
        <f t="shared" si="11"/>
        <v>-346680</v>
      </c>
      <c r="H56" s="65">
        <f t="shared" si="11"/>
        <v>-346680</v>
      </c>
      <c r="I56" s="65">
        <f t="shared" si="11"/>
        <v>-346680</v>
      </c>
      <c r="J56" s="65">
        <f>J9+J10+J11+J12+J19+J20+J21+J22+J23+J34+J35+J36+J37+J38+J39+J40+J41+J44+J45+J46+J47+J48+J49+J50+J51</f>
        <v>-361680</v>
      </c>
      <c r="K56" s="65">
        <f>K9+K10+K11+K12+K19+K20+K21+K22+K23+K34+K35+K36+K37+K38+K39+K40+K41+K44+K45+K46+K47+K48+K49+K50+K51</f>
        <v>-346680</v>
      </c>
      <c r="L56" s="65">
        <f t="shared" si="11"/>
        <v>-346680</v>
      </c>
      <c r="M56" s="65">
        <f t="shared" si="11"/>
        <v>-346680</v>
      </c>
      <c r="N56" s="65">
        <f t="shared" si="11"/>
        <v>-346680</v>
      </c>
      <c r="O56" s="65">
        <f t="shared" si="11"/>
        <v>-361680</v>
      </c>
      <c r="P56" s="65">
        <f t="shared" si="11"/>
        <v>-351105</v>
      </c>
      <c r="Q56" s="65">
        <f t="shared" si="11"/>
        <v>-369305</v>
      </c>
      <c r="R56" s="65">
        <f t="shared" si="11"/>
        <v>-417627.5</v>
      </c>
      <c r="S56" s="65">
        <f t="shared" si="11"/>
        <v>-417627.5</v>
      </c>
      <c r="T56" s="65">
        <f t="shared" si="11"/>
        <v>-432627.5</v>
      </c>
      <c r="U56" s="65">
        <f t="shared" si="11"/>
        <v>-417627.5</v>
      </c>
      <c r="V56" s="65">
        <f t="shared" si="11"/>
        <v>-417627.5</v>
      </c>
      <c r="W56" s="65">
        <f t="shared" si="11"/>
        <v>-417627.5</v>
      </c>
      <c r="X56" s="135">
        <f>SUM(C56:W56)</f>
        <v>-6895800</v>
      </c>
    </row>
    <row r="57" spans="1:25" s="46" customFormat="1" ht="15.75">
      <c r="A57" s="36" t="s">
        <v>75</v>
      </c>
      <c r="B57" s="29"/>
      <c r="C57" s="65">
        <v>0</v>
      </c>
      <c r="D57" s="65">
        <v>0</v>
      </c>
      <c r="E57" s="66">
        <v>0</v>
      </c>
      <c r="F57" s="65">
        <v>260000</v>
      </c>
      <c r="G57" s="65">
        <f>F57</f>
        <v>260000</v>
      </c>
      <c r="H57" s="65">
        <f>G57</f>
        <v>260000</v>
      </c>
      <c r="I57" s="65">
        <f>H57</f>
        <v>260000</v>
      </c>
      <c r="J57" s="65">
        <v>230000</v>
      </c>
      <c r="K57" s="65">
        <v>260000</v>
      </c>
      <c r="L57" s="65">
        <f>K57</f>
        <v>260000</v>
      </c>
      <c r="M57" s="65">
        <v>260000</v>
      </c>
      <c r="N57" s="65">
        <v>260000</v>
      </c>
      <c r="O57" s="65">
        <v>230000</v>
      </c>
      <c r="P57" s="65">
        <v>260000</v>
      </c>
      <c r="Q57" s="65">
        <f>P57</f>
        <v>260000</v>
      </c>
      <c r="R57" s="65">
        <v>100000</v>
      </c>
      <c r="S57" s="65">
        <v>300000</v>
      </c>
      <c r="T57" s="65">
        <v>270000</v>
      </c>
      <c r="U57" s="65">
        <v>300000</v>
      </c>
      <c r="V57" s="65">
        <f>U57</f>
        <v>300000</v>
      </c>
      <c r="W57" s="65">
        <f>V57</f>
        <v>300000</v>
      </c>
      <c r="X57" s="48">
        <f>SUM(C57:W57)</f>
        <v>4630000</v>
      </c>
      <c r="Y57" s="48"/>
    </row>
    <row r="59" spans="1:23" ht="15.75">
      <c r="A59" s="29"/>
      <c r="B59" s="29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</row>
    <row r="60" spans="1:25" s="46" customFormat="1" ht="15.75">
      <c r="A60" s="36" t="s">
        <v>120</v>
      </c>
      <c r="B60" s="29"/>
      <c r="C60" s="47">
        <f aca="true" t="shared" si="12" ref="C60:W60">(C13+C24+C32+C42+C52)+C57</f>
        <v>-17700</v>
      </c>
      <c r="D60" s="47">
        <f t="shared" si="12"/>
        <v>-144950</v>
      </c>
      <c r="E60" s="47">
        <f t="shared" si="12"/>
        <v>-2183000</v>
      </c>
      <c r="F60" s="47">
        <f t="shared" si="12"/>
        <v>-136305</v>
      </c>
      <c r="G60" s="47">
        <f t="shared" si="12"/>
        <v>-86680</v>
      </c>
      <c r="H60" s="47">
        <f t="shared" si="12"/>
        <v>-86680</v>
      </c>
      <c r="I60" s="47">
        <f t="shared" si="12"/>
        <v>-86680</v>
      </c>
      <c r="J60" s="47">
        <f t="shared" si="12"/>
        <v>-131680</v>
      </c>
      <c r="K60" s="47">
        <f t="shared" si="12"/>
        <v>-86680</v>
      </c>
      <c r="L60" s="47">
        <f t="shared" si="12"/>
        <v>-86680</v>
      </c>
      <c r="M60" s="47">
        <f t="shared" si="12"/>
        <v>-86680</v>
      </c>
      <c r="N60" s="47">
        <f t="shared" si="12"/>
        <v>-86680</v>
      </c>
      <c r="O60" s="47">
        <f t="shared" si="12"/>
        <v>-131680</v>
      </c>
      <c r="P60" s="47">
        <f t="shared" si="12"/>
        <v>-91105</v>
      </c>
      <c r="Q60" s="47">
        <f t="shared" si="12"/>
        <v>-122917.5</v>
      </c>
      <c r="R60" s="47">
        <f t="shared" si="12"/>
        <v>-863377.5</v>
      </c>
      <c r="S60" s="47">
        <f t="shared" si="12"/>
        <v>-117627.5</v>
      </c>
      <c r="T60" s="47">
        <f t="shared" si="12"/>
        <v>-162627.5</v>
      </c>
      <c r="U60" s="47">
        <f t="shared" si="12"/>
        <v>-117627.5</v>
      </c>
      <c r="V60" s="47">
        <f t="shared" si="12"/>
        <v>-117627.5</v>
      </c>
      <c r="W60" s="47">
        <f t="shared" si="12"/>
        <v>-117627.5</v>
      </c>
      <c r="X60" s="48">
        <f>SUM(C60:W60)</f>
        <v>-5062612.5</v>
      </c>
      <c r="Y60" s="48" t="s">
        <v>37</v>
      </c>
    </row>
    <row r="61" spans="1:24" ht="15.75">
      <c r="A61" s="29"/>
      <c r="B61" s="29"/>
      <c r="C61" s="134"/>
      <c r="D61" s="134"/>
      <c r="E61" s="134"/>
      <c r="F61" s="134"/>
      <c r="G61" s="134"/>
      <c r="H61" s="134"/>
      <c r="I61" s="134"/>
      <c r="J61" s="134"/>
      <c r="K61" s="134"/>
      <c r="L61" s="134"/>
      <c r="M61" s="134"/>
      <c r="N61" s="134"/>
      <c r="O61" s="134"/>
      <c r="P61" s="134"/>
      <c r="Q61" s="134"/>
      <c r="R61" s="134"/>
      <c r="S61" s="134"/>
      <c r="T61" s="134"/>
      <c r="U61" s="134"/>
      <c r="V61" s="134"/>
      <c r="W61" s="134"/>
      <c r="X61" s="135"/>
    </row>
    <row r="62" spans="3:23" ht="15.75">
      <c r="C62" s="136"/>
      <c r="D62" s="136"/>
      <c r="E62" s="136"/>
      <c r="F62" s="136"/>
      <c r="G62" s="136"/>
      <c r="H62" s="136"/>
      <c r="I62" s="136"/>
      <c r="J62" s="136"/>
      <c r="K62" s="136"/>
      <c r="L62" s="136"/>
      <c r="M62" s="136"/>
      <c r="N62" s="136"/>
      <c r="O62" s="136"/>
      <c r="P62" s="136"/>
      <c r="Q62" s="136"/>
      <c r="R62" s="136"/>
      <c r="S62" s="136"/>
      <c r="T62" s="136"/>
      <c r="U62" s="136"/>
      <c r="V62" s="136"/>
      <c r="W62" s="136"/>
    </row>
  </sheetData>
  <sheetProtection password="D899" sheet="1" objects="1" scenarios="1"/>
  <mergeCells count="2">
    <mergeCell ref="A1:W1"/>
    <mergeCell ref="A2:W2"/>
  </mergeCells>
  <printOptions horizontalCentered="1" verticalCentered="1"/>
  <pageMargins left="0.1968503937007874" right="0.1968503937007874" top="0.2755905511811024" bottom="0.2755905511811024" header="0.35433070866141736" footer="0.2755905511811024"/>
  <pageSetup fitToHeight="1" fitToWidth="1" horizontalDpi="600" verticalDpi="600" orientation="landscape" paperSize="9" scale="46" r:id="rId3"/>
  <headerFooter alignWithMargins="0">
    <oddFooter>&amp;R&amp;14 32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62"/>
  <sheetViews>
    <sheetView zoomScale="75" zoomScaleNormal="75" workbookViewId="0" topLeftCell="A1">
      <selection activeCell="A2" sqref="A2:W2"/>
    </sheetView>
  </sheetViews>
  <sheetFormatPr defaultColWidth="9.00390625" defaultRowHeight="15.75"/>
  <cols>
    <col min="1" max="1" width="47.875" style="0" customWidth="1"/>
    <col min="2" max="2" width="10.50390625" style="0" customWidth="1"/>
    <col min="3" max="3" width="9.75390625" style="0" bestFit="1" customWidth="1"/>
    <col min="4" max="4" width="10.75390625" style="0" bestFit="1" customWidth="1"/>
    <col min="5" max="8" width="12.25390625" style="0" bestFit="1" customWidth="1"/>
    <col min="9" max="22" width="12.125" style="0" bestFit="1" customWidth="1"/>
    <col min="23" max="23" width="12.00390625" style="0" bestFit="1" customWidth="1"/>
    <col min="24" max="24" width="13.625" style="0" customWidth="1"/>
    <col min="25" max="25" width="18.00390625" style="0" customWidth="1"/>
  </cols>
  <sheetData>
    <row r="1" spans="1:23" ht="30">
      <c r="A1" s="145" t="s">
        <v>124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</row>
    <row r="2" spans="1:23" ht="23.25">
      <c r="A2" s="146" t="s">
        <v>38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</row>
    <row r="3" spans="1:13" ht="33" customHeight="1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</row>
    <row r="4" spans="1:23" s="38" customFormat="1" ht="30" customHeight="1">
      <c r="A4" s="37" t="s">
        <v>39</v>
      </c>
      <c r="B4" s="39" t="s">
        <v>80</v>
      </c>
      <c r="C4" s="39" t="s">
        <v>40</v>
      </c>
      <c r="D4" s="39" t="s">
        <v>14</v>
      </c>
      <c r="E4" s="39" t="s">
        <v>15</v>
      </c>
      <c r="F4" s="39" t="s">
        <v>16</v>
      </c>
      <c r="G4" s="39" t="s">
        <v>17</v>
      </c>
      <c r="H4" s="39" t="s">
        <v>18</v>
      </c>
      <c r="I4" s="39" t="s">
        <v>19</v>
      </c>
      <c r="J4" s="39" t="s">
        <v>20</v>
      </c>
      <c r="K4" s="39" t="s">
        <v>21</v>
      </c>
      <c r="L4" s="39" t="s">
        <v>22</v>
      </c>
      <c r="M4" s="39" t="s">
        <v>23</v>
      </c>
      <c r="N4" s="39" t="s">
        <v>24</v>
      </c>
      <c r="O4" s="39" t="s">
        <v>25</v>
      </c>
      <c r="P4" s="39" t="s">
        <v>26</v>
      </c>
      <c r="Q4" s="39" t="s">
        <v>27</v>
      </c>
      <c r="R4" s="39" t="s">
        <v>28</v>
      </c>
      <c r="S4" s="39" t="s">
        <v>29</v>
      </c>
      <c r="T4" s="39" t="s">
        <v>30</v>
      </c>
      <c r="U4" s="39" t="s">
        <v>31</v>
      </c>
      <c r="V4" s="39" t="s">
        <v>32</v>
      </c>
      <c r="W4" s="39" t="s">
        <v>33</v>
      </c>
    </row>
    <row r="5" spans="1:23" ht="15.75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</row>
    <row r="6" spans="1:23" ht="18.75">
      <c r="A6" s="40" t="s">
        <v>41</v>
      </c>
      <c r="B6" s="31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</row>
    <row r="7" spans="1:23" ht="15.75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</row>
    <row r="8" spans="1:23" ht="15.75">
      <c r="A8" s="35" t="s">
        <v>42</v>
      </c>
      <c r="B8" s="32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</row>
    <row r="9" spans="1:23" ht="15.75">
      <c r="A9" s="23" t="s">
        <v>43</v>
      </c>
      <c r="B9" s="33" t="s">
        <v>81</v>
      </c>
      <c r="C9" s="27">
        <v>-500</v>
      </c>
      <c r="D9" s="27"/>
      <c r="E9" s="27"/>
      <c r="F9" s="27"/>
      <c r="G9" s="27"/>
      <c r="H9" s="27">
        <f>$C$9*0.25</f>
        <v>-125</v>
      </c>
      <c r="I9" s="27"/>
      <c r="J9" s="27"/>
      <c r="K9" s="27"/>
      <c r="L9" s="27"/>
      <c r="M9" s="27"/>
      <c r="N9" s="27"/>
      <c r="O9" s="27"/>
      <c r="P9" s="27"/>
      <c r="Q9" s="27"/>
      <c r="R9" s="27">
        <f>$C$9*0.25</f>
        <v>-125</v>
      </c>
      <c r="S9" s="27"/>
      <c r="T9" s="27"/>
      <c r="U9" s="27"/>
      <c r="V9" s="27"/>
      <c r="W9" s="27"/>
    </row>
    <row r="10" spans="1:23" ht="15.75">
      <c r="A10" s="23" t="s">
        <v>44</v>
      </c>
      <c r="B10" s="33" t="s">
        <v>81</v>
      </c>
      <c r="C10" s="27">
        <v>-7500</v>
      </c>
      <c r="D10" s="27"/>
      <c r="E10" s="27"/>
      <c r="F10" s="27"/>
      <c r="G10" s="27"/>
      <c r="H10" s="27">
        <f>$C$10*0.25</f>
        <v>-1875</v>
      </c>
      <c r="I10" s="27"/>
      <c r="J10" s="27"/>
      <c r="K10" s="27"/>
      <c r="L10" s="27"/>
      <c r="M10" s="27"/>
      <c r="N10" s="27"/>
      <c r="O10" s="27"/>
      <c r="P10" s="27"/>
      <c r="Q10" s="27"/>
      <c r="R10" s="27">
        <f>$C$10*0.25</f>
        <v>-1875</v>
      </c>
      <c r="S10" s="27"/>
      <c r="T10" s="27"/>
      <c r="U10" s="27"/>
      <c r="V10" s="27"/>
      <c r="W10" s="27"/>
    </row>
    <row r="11" spans="1:23" ht="15.75">
      <c r="A11" s="23" t="s">
        <v>45</v>
      </c>
      <c r="B11" s="33" t="s">
        <v>81</v>
      </c>
      <c r="C11" s="27">
        <v>-1200</v>
      </c>
      <c r="D11" s="27"/>
      <c r="E11" s="27"/>
      <c r="F11" s="27"/>
      <c r="G11" s="27"/>
      <c r="H11" s="27">
        <f>$C$11*0.25</f>
        <v>-300</v>
      </c>
      <c r="I11" s="27"/>
      <c r="J11" s="27"/>
      <c r="K11" s="27"/>
      <c r="L11" s="27"/>
      <c r="M11" s="27"/>
      <c r="N11" s="27"/>
      <c r="O11" s="27"/>
      <c r="P11" s="27"/>
      <c r="Q11" s="27"/>
      <c r="R11" s="27">
        <f>$C$11*0.25</f>
        <v>-300</v>
      </c>
      <c r="S11" s="27"/>
      <c r="T11" s="27"/>
      <c r="U11" s="27"/>
      <c r="V11" s="27"/>
      <c r="W11" s="27"/>
    </row>
    <row r="12" spans="1:23" ht="15.75">
      <c r="A12" s="23" t="s">
        <v>46</v>
      </c>
      <c r="B12" s="33" t="s">
        <v>81</v>
      </c>
      <c r="C12" s="27">
        <v>-8500</v>
      </c>
      <c r="D12" s="27"/>
      <c r="E12" s="27"/>
      <c r="F12" s="27"/>
      <c r="G12" s="27"/>
      <c r="H12" s="27">
        <f>$C12*0.25</f>
        <v>-2125</v>
      </c>
      <c r="I12" s="27"/>
      <c r="J12" s="27"/>
      <c r="K12" s="27"/>
      <c r="L12" s="27"/>
      <c r="M12" s="27"/>
      <c r="N12" s="27"/>
      <c r="O12" s="27"/>
      <c r="P12" s="27"/>
      <c r="Q12" s="27"/>
      <c r="R12" s="27">
        <f>$C12*0.25</f>
        <v>-2125</v>
      </c>
      <c r="S12" s="27"/>
      <c r="T12" s="27"/>
      <c r="U12" s="27"/>
      <c r="V12" s="27"/>
      <c r="W12" s="27"/>
    </row>
    <row r="13" spans="1:24" ht="15.75">
      <c r="A13" s="36" t="s">
        <v>35</v>
      </c>
      <c r="B13" s="25"/>
      <c r="C13" s="24">
        <f aca="true" t="shared" si="0" ref="C13:W13">SUM(C9:C12)</f>
        <v>-17700</v>
      </c>
      <c r="D13" s="24">
        <f t="shared" si="0"/>
        <v>0</v>
      </c>
      <c r="E13" s="24">
        <f t="shared" si="0"/>
        <v>0</v>
      </c>
      <c r="F13" s="24">
        <f t="shared" si="0"/>
        <v>0</v>
      </c>
      <c r="G13" s="24">
        <f t="shared" si="0"/>
        <v>0</v>
      </c>
      <c r="H13" s="24">
        <f t="shared" si="0"/>
        <v>-4425</v>
      </c>
      <c r="I13" s="24">
        <f t="shared" si="0"/>
        <v>0</v>
      </c>
      <c r="J13" s="24">
        <f t="shared" si="0"/>
        <v>0</v>
      </c>
      <c r="K13" s="24">
        <f t="shared" si="0"/>
        <v>0</v>
      </c>
      <c r="L13" s="24">
        <f t="shared" si="0"/>
        <v>0</v>
      </c>
      <c r="M13" s="24">
        <f t="shared" si="0"/>
        <v>0</v>
      </c>
      <c r="N13" s="24">
        <f t="shared" si="0"/>
        <v>0</v>
      </c>
      <c r="O13" s="24">
        <f t="shared" si="0"/>
        <v>0</v>
      </c>
      <c r="P13" s="24">
        <f t="shared" si="0"/>
        <v>0</v>
      </c>
      <c r="Q13" s="24">
        <f t="shared" si="0"/>
        <v>0</v>
      </c>
      <c r="R13" s="24">
        <f t="shared" si="0"/>
        <v>-4425</v>
      </c>
      <c r="S13" s="24">
        <f t="shared" si="0"/>
        <v>0</v>
      </c>
      <c r="T13" s="24">
        <f t="shared" si="0"/>
        <v>0</v>
      </c>
      <c r="U13" s="24">
        <f t="shared" si="0"/>
        <v>0</v>
      </c>
      <c r="V13" s="24">
        <f t="shared" si="0"/>
        <v>0</v>
      </c>
      <c r="W13" s="24">
        <f t="shared" si="0"/>
        <v>0</v>
      </c>
      <c r="X13" s="49">
        <f>SUM(C13:W13)</f>
        <v>-26550</v>
      </c>
    </row>
    <row r="14" spans="1:23" ht="15.75">
      <c r="A14" s="35" t="s">
        <v>47</v>
      </c>
      <c r="B14" s="34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</row>
    <row r="15" spans="1:23" s="129" customFormat="1" ht="15.75">
      <c r="A15" s="126" t="s">
        <v>48</v>
      </c>
      <c r="B15" s="127" t="s">
        <v>82</v>
      </c>
      <c r="C15" s="128"/>
      <c r="D15" s="128">
        <v>-6750</v>
      </c>
      <c r="E15" s="128"/>
      <c r="F15" s="128"/>
      <c r="G15" s="128"/>
      <c r="H15" s="128"/>
      <c r="I15" s="128">
        <f>$D15*0.25</f>
        <v>-1687.5</v>
      </c>
      <c r="J15" s="128"/>
      <c r="K15" s="128"/>
      <c r="L15" s="128"/>
      <c r="M15" s="128"/>
      <c r="N15" s="128"/>
      <c r="O15" s="128"/>
      <c r="P15" s="128"/>
      <c r="Q15" s="128"/>
      <c r="R15" s="128"/>
      <c r="S15" s="128">
        <f>$D15*0.25</f>
        <v>-1687.5</v>
      </c>
      <c r="T15" s="128"/>
      <c r="U15" s="128"/>
      <c r="V15" s="128"/>
      <c r="W15" s="128"/>
    </row>
    <row r="16" spans="1:23" s="129" customFormat="1" ht="15.75">
      <c r="A16" s="126" t="s">
        <v>83</v>
      </c>
      <c r="B16" s="127" t="s">
        <v>82</v>
      </c>
      <c r="C16" s="128"/>
      <c r="D16" s="128">
        <v>-1800</v>
      </c>
      <c r="E16" s="128"/>
      <c r="F16" s="128"/>
      <c r="G16" s="128"/>
      <c r="H16" s="128"/>
      <c r="I16" s="128">
        <f aca="true" t="shared" si="1" ref="I16:I23">$D16*0.25</f>
        <v>-450</v>
      </c>
      <c r="J16" s="128"/>
      <c r="K16" s="128"/>
      <c r="L16" s="128"/>
      <c r="M16" s="128"/>
      <c r="N16" s="128"/>
      <c r="O16" s="128"/>
      <c r="P16" s="128"/>
      <c r="Q16" s="128"/>
      <c r="R16" s="128"/>
      <c r="S16" s="128">
        <f aca="true" t="shared" si="2" ref="S16:S23">$D16*0.25</f>
        <v>-450</v>
      </c>
      <c r="T16" s="128"/>
      <c r="U16" s="128"/>
      <c r="V16" s="128"/>
      <c r="W16" s="128"/>
    </row>
    <row r="17" spans="1:23" s="129" customFormat="1" ht="15.75">
      <c r="A17" s="126" t="s">
        <v>79</v>
      </c>
      <c r="B17" s="127" t="s">
        <v>82</v>
      </c>
      <c r="C17" s="128"/>
      <c r="D17" s="128">
        <v>-22500</v>
      </c>
      <c r="E17" s="128"/>
      <c r="F17" s="128"/>
      <c r="G17" s="128"/>
      <c r="H17" s="128"/>
      <c r="I17" s="128">
        <f t="shared" si="1"/>
        <v>-5625</v>
      </c>
      <c r="J17" s="128"/>
      <c r="K17" s="128"/>
      <c r="L17" s="128"/>
      <c r="M17" s="128"/>
      <c r="N17" s="128"/>
      <c r="O17" s="128"/>
      <c r="P17" s="128"/>
      <c r="Q17" s="128"/>
      <c r="R17" s="128"/>
      <c r="S17" s="128">
        <f t="shared" si="2"/>
        <v>-5625</v>
      </c>
      <c r="T17" s="128"/>
      <c r="U17" s="128"/>
      <c r="V17" s="128"/>
      <c r="W17" s="128"/>
    </row>
    <row r="18" spans="1:23" s="129" customFormat="1" ht="15.75">
      <c r="A18" s="126" t="s">
        <v>50</v>
      </c>
      <c r="B18" s="127" t="s">
        <v>82</v>
      </c>
      <c r="C18" s="128"/>
      <c r="D18" s="128">
        <v>-13500</v>
      </c>
      <c r="E18" s="128"/>
      <c r="F18" s="128"/>
      <c r="G18" s="128"/>
      <c r="H18" s="128"/>
      <c r="I18" s="128">
        <f t="shared" si="1"/>
        <v>-3375</v>
      </c>
      <c r="J18" s="128"/>
      <c r="K18" s="128"/>
      <c r="L18" s="128"/>
      <c r="M18" s="128"/>
      <c r="N18" s="128"/>
      <c r="O18" s="128"/>
      <c r="P18" s="128"/>
      <c r="Q18" s="128"/>
      <c r="R18" s="128"/>
      <c r="S18" s="128">
        <f t="shared" si="2"/>
        <v>-3375</v>
      </c>
      <c r="T18" s="128"/>
      <c r="U18" s="128"/>
      <c r="V18" s="128"/>
      <c r="W18" s="128"/>
    </row>
    <row r="19" spans="1:23" ht="15.75">
      <c r="A19" s="23" t="s">
        <v>44</v>
      </c>
      <c r="B19" s="33" t="s">
        <v>81</v>
      </c>
      <c r="C19" s="27"/>
      <c r="D19" s="28">
        <v>-55000</v>
      </c>
      <c r="E19" s="27"/>
      <c r="F19" s="27"/>
      <c r="G19" s="27"/>
      <c r="H19" s="27"/>
      <c r="I19" s="27">
        <f t="shared" si="1"/>
        <v>-13750</v>
      </c>
      <c r="J19" s="27"/>
      <c r="K19" s="27"/>
      <c r="L19" s="27"/>
      <c r="M19" s="27"/>
      <c r="N19" s="27"/>
      <c r="O19" s="27"/>
      <c r="P19" s="27"/>
      <c r="Q19" s="27"/>
      <c r="R19" s="27"/>
      <c r="S19" s="27">
        <f t="shared" si="2"/>
        <v>-13750</v>
      </c>
      <c r="T19" s="27"/>
      <c r="U19" s="27"/>
      <c r="V19" s="27"/>
      <c r="W19" s="27"/>
    </row>
    <row r="20" spans="1:23" ht="15.75">
      <c r="A20" s="23" t="s">
        <v>49</v>
      </c>
      <c r="B20" s="33" t="s">
        <v>81</v>
      </c>
      <c r="C20" s="27"/>
      <c r="D20" s="28">
        <v>-8000</v>
      </c>
      <c r="E20" s="27"/>
      <c r="F20" s="27"/>
      <c r="G20" s="27"/>
      <c r="H20" s="27"/>
      <c r="I20" s="27">
        <f t="shared" si="1"/>
        <v>-2000</v>
      </c>
      <c r="J20" s="27"/>
      <c r="K20" s="27"/>
      <c r="L20" s="27"/>
      <c r="M20" s="27"/>
      <c r="N20" s="27"/>
      <c r="O20" s="27"/>
      <c r="P20" s="27"/>
      <c r="Q20" s="27"/>
      <c r="R20" s="27"/>
      <c r="S20" s="27">
        <f t="shared" si="2"/>
        <v>-2000</v>
      </c>
      <c r="T20" s="27"/>
      <c r="U20" s="27"/>
      <c r="V20" s="27"/>
      <c r="W20" s="27"/>
    </row>
    <row r="21" spans="1:23" ht="15.75">
      <c r="A21" s="26" t="s">
        <v>89</v>
      </c>
      <c r="B21" s="33" t="s">
        <v>81</v>
      </c>
      <c r="C21" s="27"/>
      <c r="D21" s="28">
        <v>-17000</v>
      </c>
      <c r="E21" s="27"/>
      <c r="F21" s="27"/>
      <c r="G21" s="27"/>
      <c r="H21" s="27"/>
      <c r="I21" s="27">
        <f t="shared" si="1"/>
        <v>-4250</v>
      </c>
      <c r="J21" s="27"/>
      <c r="K21" s="27"/>
      <c r="L21" s="27"/>
      <c r="M21" s="27"/>
      <c r="N21" s="27"/>
      <c r="O21" s="27"/>
      <c r="P21" s="27"/>
      <c r="Q21" s="27"/>
      <c r="R21" s="27"/>
      <c r="S21" s="27">
        <f t="shared" si="2"/>
        <v>-4250</v>
      </c>
      <c r="T21" s="27"/>
      <c r="U21" s="27"/>
      <c r="V21" s="27"/>
      <c r="W21" s="27"/>
    </row>
    <row r="22" spans="1:23" ht="15.75">
      <c r="A22" s="23" t="s">
        <v>51</v>
      </c>
      <c r="B22" s="33" t="s">
        <v>81</v>
      </c>
      <c r="C22" s="27"/>
      <c r="D22" s="28">
        <v>-3000</v>
      </c>
      <c r="E22" s="27"/>
      <c r="F22" s="27"/>
      <c r="G22" s="27"/>
      <c r="H22" s="27"/>
      <c r="I22" s="27">
        <f t="shared" si="1"/>
        <v>-750</v>
      </c>
      <c r="J22" s="27"/>
      <c r="K22" s="27"/>
      <c r="L22" s="27"/>
      <c r="M22" s="27"/>
      <c r="N22" s="27"/>
      <c r="O22" s="27"/>
      <c r="P22" s="27"/>
      <c r="Q22" s="27"/>
      <c r="R22" s="27"/>
      <c r="S22" s="27">
        <f t="shared" si="2"/>
        <v>-750</v>
      </c>
      <c r="T22" s="27"/>
      <c r="U22" s="27"/>
      <c r="V22" s="27"/>
      <c r="W22" s="27"/>
    </row>
    <row r="23" spans="1:23" ht="15.75">
      <c r="A23" s="26" t="s">
        <v>72</v>
      </c>
      <c r="B23" s="33" t="s">
        <v>81</v>
      </c>
      <c r="C23" s="27"/>
      <c r="D23" s="28">
        <v>-7500</v>
      </c>
      <c r="E23" s="27"/>
      <c r="F23" s="27"/>
      <c r="G23" s="27"/>
      <c r="H23" s="27"/>
      <c r="I23" s="27">
        <f t="shared" si="1"/>
        <v>-1875</v>
      </c>
      <c r="J23" s="27"/>
      <c r="K23" s="27"/>
      <c r="L23" s="27"/>
      <c r="M23" s="27"/>
      <c r="N23" s="27"/>
      <c r="O23" s="27"/>
      <c r="P23" s="27"/>
      <c r="Q23" s="27"/>
      <c r="R23" s="27"/>
      <c r="S23" s="27">
        <f t="shared" si="2"/>
        <v>-1875</v>
      </c>
      <c r="T23" s="27"/>
      <c r="U23" s="27"/>
      <c r="V23" s="27"/>
      <c r="W23" s="27"/>
    </row>
    <row r="24" spans="1:46" ht="15.75">
      <c r="A24" s="36" t="s">
        <v>35</v>
      </c>
      <c r="B24" s="25"/>
      <c r="C24" s="24">
        <f>SUM(C15:C23)</f>
        <v>0</v>
      </c>
      <c r="D24" s="24">
        <f aca="true" t="shared" si="3" ref="D24:W24">SUM(D15:D23)</f>
        <v>-135050</v>
      </c>
      <c r="E24" s="24">
        <f t="shared" si="3"/>
        <v>0</v>
      </c>
      <c r="F24" s="24">
        <f t="shared" si="3"/>
        <v>0</v>
      </c>
      <c r="G24" s="24">
        <f t="shared" si="3"/>
        <v>0</v>
      </c>
      <c r="H24" s="24">
        <f t="shared" si="3"/>
        <v>0</v>
      </c>
      <c r="I24" s="24">
        <f t="shared" si="3"/>
        <v>-33762.5</v>
      </c>
      <c r="J24" s="24">
        <f t="shared" si="3"/>
        <v>0</v>
      </c>
      <c r="K24" s="24">
        <f t="shared" si="3"/>
        <v>0</v>
      </c>
      <c r="L24" s="24">
        <f t="shared" si="3"/>
        <v>0</v>
      </c>
      <c r="M24" s="24">
        <f t="shared" si="3"/>
        <v>0</v>
      </c>
      <c r="N24" s="24">
        <f t="shared" si="3"/>
        <v>0</v>
      </c>
      <c r="O24" s="24">
        <f t="shared" si="3"/>
        <v>0</v>
      </c>
      <c r="P24" s="24">
        <f t="shared" si="3"/>
        <v>0</v>
      </c>
      <c r="Q24" s="24">
        <f t="shared" si="3"/>
        <v>0</v>
      </c>
      <c r="R24" s="24">
        <f t="shared" si="3"/>
        <v>0</v>
      </c>
      <c r="S24" s="24">
        <f t="shared" si="3"/>
        <v>-33762.5</v>
      </c>
      <c r="T24" s="24">
        <f t="shared" si="3"/>
        <v>0</v>
      </c>
      <c r="U24" s="24">
        <f t="shared" si="3"/>
        <v>0</v>
      </c>
      <c r="V24" s="24">
        <f t="shared" si="3"/>
        <v>0</v>
      </c>
      <c r="W24" s="24">
        <f t="shared" si="3"/>
        <v>0</v>
      </c>
      <c r="X24" s="24">
        <f>SUM(C24:W24)</f>
        <v>-202575</v>
      </c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</row>
    <row r="25" spans="1:23" ht="15.75">
      <c r="A25" s="35" t="s">
        <v>52</v>
      </c>
      <c r="B25" s="34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</row>
    <row r="26" spans="1:23" s="129" customFormat="1" ht="15.75">
      <c r="A26" s="126" t="s">
        <v>84</v>
      </c>
      <c r="B26" s="130" t="s">
        <v>82</v>
      </c>
      <c r="C26" s="128"/>
      <c r="D26" s="128"/>
      <c r="E26" s="128">
        <v>-225000</v>
      </c>
      <c r="F26" s="128"/>
      <c r="G26" s="128"/>
      <c r="H26" s="128"/>
      <c r="I26" s="128"/>
      <c r="J26" s="128">
        <f aca="true" t="shared" si="4" ref="J26:J31">$E26*0.25</f>
        <v>-56250</v>
      </c>
      <c r="K26" s="128"/>
      <c r="L26" s="128"/>
      <c r="M26" s="128"/>
      <c r="N26" s="128"/>
      <c r="O26" s="128"/>
      <c r="P26" s="128"/>
      <c r="Q26" s="128"/>
      <c r="R26" s="128"/>
      <c r="S26" s="128"/>
      <c r="T26" s="128">
        <f aca="true" t="shared" si="5" ref="T26:T31">$E26*0.25</f>
        <v>-56250</v>
      </c>
      <c r="U26" s="128"/>
      <c r="V26" s="128"/>
      <c r="W26" s="128"/>
    </row>
    <row r="27" spans="1:23" s="129" customFormat="1" ht="15.75">
      <c r="A27" s="126" t="s">
        <v>53</v>
      </c>
      <c r="B27" s="130" t="s">
        <v>82</v>
      </c>
      <c r="C27" s="128"/>
      <c r="D27" s="128"/>
      <c r="E27" s="128">
        <v>-54000</v>
      </c>
      <c r="F27" s="128"/>
      <c r="G27" s="128"/>
      <c r="H27" s="128"/>
      <c r="I27" s="128"/>
      <c r="J27" s="128">
        <f t="shared" si="4"/>
        <v>-13500</v>
      </c>
      <c r="K27" s="128"/>
      <c r="L27" s="128"/>
      <c r="M27" s="128"/>
      <c r="N27" s="128"/>
      <c r="O27" s="128"/>
      <c r="P27" s="128"/>
      <c r="Q27" s="128"/>
      <c r="R27" s="128"/>
      <c r="S27" s="128"/>
      <c r="T27" s="128">
        <f t="shared" si="5"/>
        <v>-13500</v>
      </c>
      <c r="U27" s="128"/>
      <c r="V27" s="128"/>
      <c r="W27" s="128"/>
    </row>
    <row r="28" spans="1:23" s="129" customFormat="1" ht="15.75">
      <c r="A28" s="126" t="s">
        <v>85</v>
      </c>
      <c r="B28" s="130" t="s">
        <v>82</v>
      </c>
      <c r="C28" s="128"/>
      <c r="D28" s="128"/>
      <c r="E28" s="128">
        <v>-1350000</v>
      </c>
      <c r="F28" s="128"/>
      <c r="G28" s="128"/>
      <c r="H28" s="128"/>
      <c r="I28" s="128"/>
      <c r="J28" s="128">
        <f t="shared" si="4"/>
        <v>-337500</v>
      </c>
      <c r="K28" s="128"/>
      <c r="L28" s="128"/>
      <c r="M28" s="128"/>
      <c r="N28" s="128"/>
      <c r="O28" s="128"/>
      <c r="P28" s="128"/>
      <c r="Q28" s="128"/>
      <c r="R28" s="128"/>
      <c r="S28" s="128"/>
      <c r="T28" s="128">
        <f t="shared" si="5"/>
        <v>-337500</v>
      </c>
      <c r="U28" s="128"/>
      <c r="V28" s="128"/>
      <c r="W28" s="128"/>
    </row>
    <row r="29" spans="1:23" s="129" customFormat="1" ht="15.75">
      <c r="A29" s="126" t="s">
        <v>54</v>
      </c>
      <c r="B29" s="130" t="s">
        <v>82</v>
      </c>
      <c r="C29" s="128"/>
      <c r="D29" s="128"/>
      <c r="E29" s="128">
        <v>-49500</v>
      </c>
      <c r="F29" s="128"/>
      <c r="G29" s="128"/>
      <c r="H29" s="128"/>
      <c r="I29" s="128"/>
      <c r="J29" s="128">
        <f t="shared" si="4"/>
        <v>-12375</v>
      </c>
      <c r="K29" s="128"/>
      <c r="L29" s="128"/>
      <c r="M29" s="128"/>
      <c r="N29" s="128"/>
      <c r="O29" s="128"/>
      <c r="P29" s="128"/>
      <c r="Q29" s="128"/>
      <c r="R29" s="128"/>
      <c r="S29" s="128"/>
      <c r="T29" s="128">
        <f t="shared" si="5"/>
        <v>-12375</v>
      </c>
      <c r="U29" s="128"/>
      <c r="V29" s="128"/>
      <c r="W29" s="128"/>
    </row>
    <row r="30" spans="1:23" s="129" customFormat="1" ht="15.75">
      <c r="A30" s="126" t="s">
        <v>86</v>
      </c>
      <c r="B30" s="130" t="s">
        <v>82</v>
      </c>
      <c r="C30" s="128"/>
      <c r="D30" s="128"/>
      <c r="E30" s="128">
        <v>-40500</v>
      </c>
      <c r="F30" s="128"/>
      <c r="G30" s="128"/>
      <c r="H30" s="128"/>
      <c r="I30" s="128"/>
      <c r="J30" s="128">
        <f t="shared" si="4"/>
        <v>-10125</v>
      </c>
      <c r="K30" s="128"/>
      <c r="L30" s="128"/>
      <c r="M30" s="128"/>
      <c r="N30" s="128"/>
      <c r="O30" s="128"/>
      <c r="P30" s="128"/>
      <c r="Q30" s="128"/>
      <c r="R30" s="128"/>
      <c r="S30" s="128"/>
      <c r="T30" s="128">
        <f t="shared" si="5"/>
        <v>-10125</v>
      </c>
      <c r="U30" s="128"/>
      <c r="V30" s="128"/>
      <c r="W30" s="128"/>
    </row>
    <row r="31" spans="1:23" s="129" customFormat="1" ht="15.75">
      <c r="A31" s="126" t="s">
        <v>88</v>
      </c>
      <c r="B31" s="130" t="s">
        <v>82</v>
      </c>
      <c r="C31" s="128"/>
      <c r="D31" s="128"/>
      <c r="E31" s="128">
        <v>-67500</v>
      </c>
      <c r="F31" s="128"/>
      <c r="G31" s="128"/>
      <c r="H31" s="128"/>
      <c r="I31" s="128"/>
      <c r="J31" s="128">
        <f t="shared" si="4"/>
        <v>-16875</v>
      </c>
      <c r="K31" s="128"/>
      <c r="L31" s="128"/>
      <c r="M31" s="128"/>
      <c r="N31" s="128"/>
      <c r="O31" s="128"/>
      <c r="P31" s="128"/>
      <c r="Q31" s="128"/>
      <c r="R31" s="128"/>
      <c r="S31" s="128"/>
      <c r="T31" s="128">
        <f t="shared" si="5"/>
        <v>-16875</v>
      </c>
      <c r="U31" s="128"/>
      <c r="V31" s="128"/>
      <c r="W31" s="128"/>
    </row>
    <row r="32" spans="1:24" ht="15.75">
      <c r="A32" s="36" t="s">
        <v>35</v>
      </c>
      <c r="B32" s="25"/>
      <c r="C32" s="24">
        <f>SUM(C26:C31)</f>
        <v>0</v>
      </c>
      <c r="D32" s="24">
        <f aca="true" t="shared" si="6" ref="D32:W32">SUM(D26:D31)</f>
        <v>0</v>
      </c>
      <c r="E32" s="24">
        <f t="shared" si="6"/>
        <v>-1786500</v>
      </c>
      <c r="F32" s="24">
        <f t="shared" si="6"/>
        <v>0</v>
      </c>
      <c r="G32" s="24">
        <f t="shared" si="6"/>
        <v>0</v>
      </c>
      <c r="H32" s="24">
        <f t="shared" si="6"/>
        <v>0</v>
      </c>
      <c r="I32" s="24">
        <f t="shared" si="6"/>
        <v>0</v>
      </c>
      <c r="J32" s="24">
        <f t="shared" si="6"/>
        <v>-446625</v>
      </c>
      <c r="K32" s="24">
        <f t="shared" si="6"/>
        <v>0</v>
      </c>
      <c r="L32" s="24">
        <f t="shared" si="6"/>
        <v>0</v>
      </c>
      <c r="M32" s="24">
        <f t="shared" si="6"/>
        <v>0</v>
      </c>
      <c r="N32" s="24">
        <f t="shared" si="6"/>
        <v>0</v>
      </c>
      <c r="O32" s="24">
        <f t="shared" si="6"/>
        <v>0</v>
      </c>
      <c r="P32" s="24">
        <f t="shared" si="6"/>
        <v>0</v>
      </c>
      <c r="Q32" s="24">
        <f t="shared" si="6"/>
        <v>0</v>
      </c>
      <c r="R32" s="24">
        <f t="shared" si="6"/>
        <v>0</v>
      </c>
      <c r="S32" s="24">
        <f t="shared" si="6"/>
        <v>0</v>
      </c>
      <c r="T32" s="24">
        <f t="shared" si="6"/>
        <v>-446625</v>
      </c>
      <c r="U32" s="24">
        <f t="shared" si="6"/>
        <v>0</v>
      </c>
      <c r="V32" s="24">
        <f t="shared" si="6"/>
        <v>0</v>
      </c>
      <c r="W32" s="24">
        <f t="shared" si="6"/>
        <v>0</v>
      </c>
      <c r="X32" s="49">
        <f>SUM(C32:W32)</f>
        <v>-2679750</v>
      </c>
    </row>
    <row r="33" spans="1:23" ht="15.75">
      <c r="A33" s="35" t="s">
        <v>34</v>
      </c>
      <c r="B33" s="34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</row>
    <row r="34" spans="1:23" ht="15.75">
      <c r="A34" s="23" t="s">
        <v>56</v>
      </c>
      <c r="B34" s="33" t="s">
        <v>81</v>
      </c>
      <c r="C34" s="27"/>
      <c r="D34" s="27"/>
      <c r="E34" s="27"/>
      <c r="F34" s="27">
        <v>-2000</v>
      </c>
      <c r="G34" s="27">
        <v>-2000</v>
      </c>
      <c r="H34" s="27">
        <v>-2000</v>
      </c>
      <c r="I34" s="27">
        <v>-2000</v>
      </c>
      <c r="J34" s="27">
        <v>-2000</v>
      </c>
      <c r="K34" s="27">
        <v>-2000</v>
      </c>
      <c r="L34" s="27">
        <v>-2000</v>
      </c>
      <c r="M34" s="27">
        <v>-2000</v>
      </c>
      <c r="N34" s="27">
        <v>-2000</v>
      </c>
      <c r="O34" s="27">
        <v>-2000</v>
      </c>
      <c r="P34" s="27">
        <v>-2000</v>
      </c>
      <c r="Q34" s="27">
        <v>-2000</v>
      </c>
      <c r="R34" s="27">
        <v>-2000</v>
      </c>
      <c r="S34" s="27">
        <v>-2000</v>
      </c>
      <c r="T34" s="27">
        <v>-2000</v>
      </c>
      <c r="U34" s="27">
        <v>-2000</v>
      </c>
      <c r="V34" s="27">
        <v>-2000</v>
      </c>
      <c r="W34" s="27">
        <v>-2000</v>
      </c>
    </row>
    <row r="35" spans="1:23" ht="15.75">
      <c r="A35" s="23" t="s">
        <v>57</v>
      </c>
      <c r="B35" s="33" t="s">
        <v>81</v>
      </c>
      <c r="C35" s="27"/>
      <c r="D35" s="27"/>
      <c r="E35" s="27"/>
      <c r="F35" s="27">
        <v>-4000</v>
      </c>
      <c r="G35" s="27">
        <v>-4000</v>
      </c>
      <c r="H35" s="27">
        <v>-4000</v>
      </c>
      <c r="I35" s="27">
        <v>-4000</v>
      </c>
      <c r="J35" s="27">
        <v>-4000</v>
      </c>
      <c r="K35" s="27">
        <v>-4000</v>
      </c>
      <c r="L35" s="27">
        <v>-4000</v>
      </c>
      <c r="M35" s="27">
        <v>-4000</v>
      </c>
      <c r="N35" s="27">
        <v>-4000</v>
      </c>
      <c r="O35" s="27">
        <v>-4000</v>
      </c>
      <c r="P35" s="27">
        <v>-4000</v>
      </c>
      <c r="Q35" s="27">
        <v>-4000</v>
      </c>
      <c r="R35" s="27">
        <v>-4000</v>
      </c>
      <c r="S35" s="27">
        <v>-4000</v>
      </c>
      <c r="T35" s="27">
        <v>-4000</v>
      </c>
      <c r="U35" s="27">
        <v>-4000</v>
      </c>
      <c r="V35" s="27">
        <v>-4000</v>
      </c>
      <c r="W35" s="27">
        <v>-4000</v>
      </c>
    </row>
    <row r="36" spans="1:23" ht="15" customHeight="1">
      <c r="A36" s="23" t="s">
        <v>60</v>
      </c>
      <c r="B36" s="33" t="s">
        <v>81</v>
      </c>
      <c r="C36" s="27"/>
      <c r="D36" s="27"/>
      <c r="E36" s="27"/>
      <c r="F36" s="27">
        <v>-2500</v>
      </c>
      <c r="G36" s="27">
        <v>-2500</v>
      </c>
      <c r="H36" s="27">
        <v>-2500</v>
      </c>
      <c r="I36" s="27">
        <v>-2500</v>
      </c>
      <c r="J36" s="27">
        <v>-2500</v>
      </c>
      <c r="K36" s="27">
        <v>-2500</v>
      </c>
      <c r="L36" s="27">
        <v>-2500</v>
      </c>
      <c r="M36" s="27">
        <v>-2500</v>
      </c>
      <c r="N36" s="27">
        <v>-2500</v>
      </c>
      <c r="O36" s="27">
        <v>-2500</v>
      </c>
      <c r="P36" s="27">
        <v>-2500</v>
      </c>
      <c r="Q36" s="27">
        <v>-2500</v>
      </c>
      <c r="R36" s="27">
        <v>-2500</v>
      </c>
      <c r="S36" s="27">
        <v>-2500</v>
      </c>
      <c r="T36" s="27">
        <v>-2500</v>
      </c>
      <c r="U36" s="27">
        <v>-2500</v>
      </c>
      <c r="V36" s="27">
        <v>-2500</v>
      </c>
      <c r="W36" s="27">
        <v>-2500</v>
      </c>
    </row>
    <row r="37" spans="1:23" ht="15.75">
      <c r="A37" s="23" t="s">
        <v>61</v>
      </c>
      <c r="B37" s="33" t="s">
        <v>81</v>
      </c>
      <c r="C37" s="27"/>
      <c r="D37" s="27"/>
      <c r="E37" s="27"/>
      <c r="F37" s="27"/>
      <c r="G37" s="27"/>
      <c r="H37" s="27"/>
      <c r="I37" s="27"/>
      <c r="J37" s="28">
        <v>0</v>
      </c>
      <c r="K37" s="27"/>
      <c r="L37" s="27"/>
      <c r="M37" s="27"/>
      <c r="N37" s="27"/>
      <c r="O37" s="27">
        <v>-15000</v>
      </c>
      <c r="P37" s="27"/>
      <c r="Q37" s="27"/>
      <c r="R37" s="27"/>
      <c r="S37" s="27"/>
      <c r="T37" s="27">
        <v>-15000</v>
      </c>
      <c r="U37" s="27"/>
      <c r="V37" s="27"/>
      <c r="W37" s="27"/>
    </row>
    <row r="38" spans="1:23" ht="15.75">
      <c r="A38" s="23" t="s">
        <v>62</v>
      </c>
      <c r="B38" s="33" t="s">
        <v>81</v>
      </c>
      <c r="C38" s="27"/>
      <c r="D38" s="27"/>
      <c r="E38" s="27"/>
      <c r="F38" s="27">
        <v>-1250</v>
      </c>
      <c r="G38" s="27">
        <v>-1250</v>
      </c>
      <c r="H38" s="27">
        <v>-1250</v>
      </c>
      <c r="I38" s="27">
        <v>-1250</v>
      </c>
      <c r="J38" s="27">
        <v>-1250</v>
      </c>
      <c r="K38" s="27">
        <v>-1250</v>
      </c>
      <c r="L38" s="27">
        <v>-1250</v>
      </c>
      <c r="M38" s="27">
        <v>-1250</v>
      </c>
      <c r="N38" s="27">
        <v>-1250</v>
      </c>
      <c r="O38" s="27">
        <v>-1250</v>
      </c>
      <c r="P38" s="27">
        <v>-1250</v>
      </c>
      <c r="Q38" s="27">
        <v>-1250</v>
      </c>
      <c r="R38" s="27">
        <v>-1250</v>
      </c>
      <c r="S38" s="27">
        <v>-1250</v>
      </c>
      <c r="T38" s="27">
        <v>-1250</v>
      </c>
      <c r="U38" s="27">
        <v>-1250</v>
      </c>
      <c r="V38" s="27">
        <v>-1250</v>
      </c>
      <c r="W38" s="27">
        <v>-1250</v>
      </c>
    </row>
    <row r="39" spans="1:23" ht="15.75">
      <c r="A39" s="23" t="s">
        <v>55</v>
      </c>
      <c r="B39" s="33" t="s">
        <v>81</v>
      </c>
      <c r="C39" s="27"/>
      <c r="D39" s="27"/>
      <c r="E39" s="27"/>
      <c r="F39" s="27">
        <v>-2500</v>
      </c>
      <c r="G39" s="27">
        <v>-2500</v>
      </c>
      <c r="H39" s="27">
        <v>-2500</v>
      </c>
      <c r="I39" s="27">
        <v>-2500</v>
      </c>
      <c r="J39" s="27">
        <v>-2500</v>
      </c>
      <c r="K39" s="27">
        <v>-2500</v>
      </c>
      <c r="L39" s="27">
        <v>-2500</v>
      </c>
      <c r="M39" s="27">
        <v>-2500</v>
      </c>
      <c r="N39" s="27">
        <v>-2500</v>
      </c>
      <c r="O39" s="27">
        <v>-2500</v>
      </c>
      <c r="P39" s="27">
        <v>-2500</v>
      </c>
      <c r="Q39" s="27">
        <v>-2500</v>
      </c>
      <c r="R39" s="27">
        <v>-2500</v>
      </c>
      <c r="S39" s="27">
        <v>-2500</v>
      </c>
      <c r="T39" s="27">
        <v>-2500</v>
      </c>
      <c r="U39" s="27">
        <v>-2500</v>
      </c>
      <c r="V39" s="27">
        <v>-2500</v>
      </c>
      <c r="W39" s="27">
        <v>-2500</v>
      </c>
    </row>
    <row r="40" spans="1:23" ht="15.75">
      <c r="A40" s="23" t="s">
        <v>58</v>
      </c>
      <c r="B40" s="33" t="s">
        <v>81</v>
      </c>
      <c r="C40" s="27"/>
      <c r="D40" s="27"/>
      <c r="E40" s="27"/>
      <c r="F40" s="27">
        <v>-25000</v>
      </c>
      <c r="G40" s="27">
        <v>-25000</v>
      </c>
      <c r="H40" s="27">
        <v>-25000</v>
      </c>
      <c r="I40" s="27">
        <v>-25000</v>
      </c>
      <c r="J40" s="27">
        <v>-25000</v>
      </c>
      <c r="K40" s="27">
        <v>-25000</v>
      </c>
      <c r="L40" s="27">
        <v>-25000</v>
      </c>
      <c r="M40" s="27">
        <v>-25000</v>
      </c>
      <c r="N40" s="27">
        <v>-25000</v>
      </c>
      <c r="O40" s="27">
        <v>-25000</v>
      </c>
      <c r="P40" s="27">
        <v>-25000</v>
      </c>
      <c r="Q40" s="27">
        <v>-25000</v>
      </c>
      <c r="R40" s="27">
        <v>-25000</v>
      </c>
      <c r="S40" s="27">
        <v>-25000</v>
      </c>
      <c r="T40" s="27">
        <v>-25000</v>
      </c>
      <c r="U40" s="27">
        <v>-25000</v>
      </c>
      <c r="V40" s="27">
        <v>-25000</v>
      </c>
      <c r="W40" s="27">
        <v>-25000</v>
      </c>
    </row>
    <row r="41" spans="1:23" ht="15.75">
      <c r="A41" s="23" t="s">
        <v>59</v>
      </c>
      <c r="B41" s="33" t="s">
        <v>81</v>
      </c>
      <c r="C41" s="27"/>
      <c r="D41" s="27"/>
      <c r="E41" s="27"/>
      <c r="F41" s="27">
        <v>-5500</v>
      </c>
      <c r="G41" s="27">
        <v>-5500</v>
      </c>
      <c r="H41" s="27">
        <v>-5500</v>
      </c>
      <c r="I41" s="27">
        <v>-5500</v>
      </c>
      <c r="J41" s="27">
        <v>-5500</v>
      </c>
      <c r="K41" s="27">
        <v>-5500</v>
      </c>
      <c r="L41" s="27">
        <v>-5500</v>
      </c>
      <c r="M41" s="27">
        <v>-5500</v>
      </c>
      <c r="N41" s="27">
        <v>-5500</v>
      </c>
      <c r="O41" s="27">
        <v>-5500</v>
      </c>
      <c r="P41" s="27">
        <v>-5500</v>
      </c>
      <c r="Q41" s="27">
        <v>-5500</v>
      </c>
      <c r="R41" s="27">
        <v>-5500</v>
      </c>
      <c r="S41" s="27">
        <v>-5500</v>
      </c>
      <c r="T41" s="27">
        <v>-5500</v>
      </c>
      <c r="U41" s="27">
        <v>-5500</v>
      </c>
      <c r="V41" s="27">
        <v>-5500</v>
      </c>
      <c r="W41" s="27">
        <v>-5500</v>
      </c>
    </row>
    <row r="42" spans="1:24" ht="15.75">
      <c r="A42" s="36" t="s">
        <v>35</v>
      </c>
      <c r="B42" s="25"/>
      <c r="C42" s="24">
        <f aca="true" t="shared" si="7" ref="C42:W42">SUM(C34:C41)</f>
        <v>0</v>
      </c>
      <c r="D42" s="24">
        <f t="shared" si="7"/>
        <v>0</v>
      </c>
      <c r="E42" s="24">
        <f t="shared" si="7"/>
        <v>0</v>
      </c>
      <c r="F42" s="24">
        <f t="shared" si="7"/>
        <v>-42750</v>
      </c>
      <c r="G42" s="24">
        <f t="shared" si="7"/>
        <v>-42750</v>
      </c>
      <c r="H42" s="24">
        <f t="shared" si="7"/>
        <v>-42750</v>
      </c>
      <c r="I42" s="24">
        <f t="shared" si="7"/>
        <v>-42750</v>
      </c>
      <c r="J42" s="24">
        <f t="shared" si="7"/>
        <v>-42750</v>
      </c>
      <c r="K42" s="24">
        <f t="shared" si="7"/>
        <v>-42750</v>
      </c>
      <c r="L42" s="24">
        <f t="shared" si="7"/>
        <v>-42750</v>
      </c>
      <c r="M42" s="24">
        <f t="shared" si="7"/>
        <v>-42750</v>
      </c>
      <c r="N42" s="24">
        <f t="shared" si="7"/>
        <v>-42750</v>
      </c>
      <c r="O42" s="24">
        <f t="shared" si="7"/>
        <v>-57750</v>
      </c>
      <c r="P42" s="24">
        <f t="shared" si="7"/>
        <v>-42750</v>
      </c>
      <c r="Q42" s="24">
        <f t="shared" si="7"/>
        <v>-42750</v>
      </c>
      <c r="R42" s="24">
        <f t="shared" si="7"/>
        <v>-42750</v>
      </c>
      <c r="S42" s="24">
        <f t="shared" si="7"/>
        <v>-42750</v>
      </c>
      <c r="T42" s="24">
        <f t="shared" si="7"/>
        <v>-57750</v>
      </c>
      <c r="U42" s="24">
        <f t="shared" si="7"/>
        <v>-42750</v>
      </c>
      <c r="V42" s="24">
        <f t="shared" si="7"/>
        <v>-42750</v>
      </c>
      <c r="W42" s="24">
        <f t="shared" si="7"/>
        <v>-42750</v>
      </c>
      <c r="X42" s="49">
        <f>SUM(C42:W42)</f>
        <v>-799500</v>
      </c>
    </row>
    <row r="43" spans="1:23" ht="15.75">
      <c r="A43" s="35" t="s">
        <v>63</v>
      </c>
      <c r="B43" s="34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</row>
    <row r="44" spans="1:23" ht="15.75">
      <c r="A44" s="26" t="s">
        <v>77</v>
      </c>
      <c r="B44" s="33" t="s">
        <v>81</v>
      </c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</row>
    <row r="45" spans="1:23" ht="15.75">
      <c r="A45" s="26" t="s">
        <v>87</v>
      </c>
      <c r="B45" s="33" t="s">
        <v>81</v>
      </c>
      <c r="C45" s="27"/>
      <c r="D45" s="27"/>
      <c r="E45" s="27"/>
      <c r="F45" s="27">
        <f>-1985000*0.025</f>
        <v>-49625</v>
      </c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</row>
    <row r="46" spans="1:23" ht="15.75">
      <c r="A46" s="23" t="s">
        <v>64</v>
      </c>
      <c r="B46" s="33" t="s">
        <v>81</v>
      </c>
      <c r="C46" s="27"/>
      <c r="D46" s="27"/>
      <c r="E46" s="27"/>
      <c r="F46" s="27">
        <v>-4500</v>
      </c>
      <c r="G46" s="27">
        <f aca="true" t="shared" si="8" ref="G46:G51">F46</f>
        <v>-4500</v>
      </c>
      <c r="H46" s="27">
        <f aca="true" t="shared" si="9" ref="H46:W51">G46</f>
        <v>-4500</v>
      </c>
      <c r="I46" s="27">
        <f t="shared" si="9"/>
        <v>-4500</v>
      </c>
      <c r="J46" s="27">
        <f t="shared" si="9"/>
        <v>-4500</v>
      </c>
      <c r="K46" s="27">
        <f t="shared" si="9"/>
        <v>-4500</v>
      </c>
      <c r="L46" s="27">
        <f t="shared" si="9"/>
        <v>-4500</v>
      </c>
      <c r="M46" s="27">
        <f t="shared" si="9"/>
        <v>-4500</v>
      </c>
      <c r="N46" s="27">
        <f t="shared" si="9"/>
        <v>-4500</v>
      </c>
      <c r="O46" s="27">
        <f t="shared" si="9"/>
        <v>-4500</v>
      </c>
      <c r="P46" s="27">
        <f t="shared" si="9"/>
        <v>-4500</v>
      </c>
      <c r="Q46" s="27">
        <f t="shared" si="9"/>
        <v>-4500</v>
      </c>
      <c r="R46" s="27">
        <f t="shared" si="9"/>
        <v>-4500</v>
      </c>
      <c r="S46" s="27">
        <f t="shared" si="9"/>
        <v>-4500</v>
      </c>
      <c r="T46" s="27">
        <f t="shared" si="9"/>
        <v>-4500</v>
      </c>
      <c r="U46" s="27">
        <f t="shared" si="9"/>
        <v>-4500</v>
      </c>
      <c r="V46" s="27">
        <f t="shared" si="9"/>
        <v>-4500</v>
      </c>
      <c r="W46" s="27">
        <f t="shared" si="9"/>
        <v>-4500</v>
      </c>
    </row>
    <row r="47" spans="1:23" ht="15.75">
      <c r="A47" s="23" t="s">
        <v>65</v>
      </c>
      <c r="B47" s="33" t="s">
        <v>81</v>
      </c>
      <c r="C47" s="27"/>
      <c r="D47" s="27"/>
      <c r="E47" s="27"/>
      <c r="F47" s="27">
        <f>-55000*2</f>
        <v>-110000</v>
      </c>
      <c r="G47" s="27">
        <f t="shared" si="8"/>
        <v>-110000</v>
      </c>
      <c r="H47" s="27">
        <f aca="true" t="shared" si="10" ref="H47:V47">G47</f>
        <v>-110000</v>
      </c>
      <c r="I47" s="27">
        <f t="shared" si="10"/>
        <v>-110000</v>
      </c>
      <c r="J47" s="27">
        <f t="shared" si="10"/>
        <v>-110000</v>
      </c>
      <c r="K47" s="27">
        <f t="shared" si="10"/>
        <v>-110000</v>
      </c>
      <c r="L47" s="27">
        <f t="shared" si="10"/>
        <v>-110000</v>
      </c>
      <c r="M47" s="27">
        <f t="shared" si="10"/>
        <v>-110000</v>
      </c>
      <c r="N47" s="27">
        <f t="shared" si="10"/>
        <v>-110000</v>
      </c>
      <c r="O47" s="27">
        <f t="shared" si="10"/>
        <v>-110000</v>
      </c>
      <c r="P47" s="27">
        <f t="shared" si="10"/>
        <v>-110000</v>
      </c>
      <c r="Q47" s="27">
        <f t="shared" si="10"/>
        <v>-110000</v>
      </c>
      <c r="R47" s="27">
        <f t="shared" si="10"/>
        <v>-110000</v>
      </c>
      <c r="S47" s="27">
        <f t="shared" si="10"/>
        <v>-110000</v>
      </c>
      <c r="T47" s="27">
        <f t="shared" si="10"/>
        <v>-110000</v>
      </c>
      <c r="U47" s="27">
        <f t="shared" si="10"/>
        <v>-110000</v>
      </c>
      <c r="V47" s="27">
        <f t="shared" si="10"/>
        <v>-110000</v>
      </c>
      <c r="W47" s="27">
        <f t="shared" si="9"/>
        <v>-110000</v>
      </c>
    </row>
    <row r="48" spans="1:23" ht="15.75">
      <c r="A48" s="23" t="s">
        <v>66</v>
      </c>
      <c r="B48" s="33" t="s">
        <v>81</v>
      </c>
      <c r="C48" s="27"/>
      <c r="D48" s="27"/>
      <c r="E48" s="27"/>
      <c r="F48" s="27">
        <v>-9000</v>
      </c>
      <c r="G48" s="27">
        <f t="shared" si="8"/>
        <v>-9000</v>
      </c>
      <c r="H48" s="27">
        <f t="shared" si="9"/>
        <v>-9000</v>
      </c>
      <c r="I48" s="27">
        <f t="shared" si="9"/>
        <v>-9000</v>
      </c>
      <c r="J48" s="27">
        <f t="shared" si="9"/>
        <v>-9000</v>
      </c>
      <c r="K48" s="27">
        <f t="shared" si="9"/>
        <v>-9000</v>
      </c>
      <c r="L48" s="27">
        <f t="shared" si="9"/>
        <v>-9000</v>
      </c>
      <c r="M48" s="27">
        <f t="shared" si="9"/>
        <v>-9000</v>
      </c>
      <c r="N48" s="27">
        <f t="shared" si="9"/>
        <v>-9000</v>
      </c>
      <c r="O48" s="27">
        <f t="shared" si="9"/>
        <v>-9000</v>
      </c>
      <c r="P48" s="27">
        <f t="shared" si="9"/>
        <v>-9000</v>
      </c>
      <c r="Q48" s="27">
        <f t="shared" si="9"/>
        <v>-9000</v>
      </c>
      <c r="R48" s="27">
        <f t="shared" si="9"/>
        <v>-9000</v>
      </c>
      <c r="S48" s="27">
        <f t="shared" si="9"/>
        <v>-9000</v>
      </c>
      <c r="T48" s="27">
        <f t="shared" si="9"/>
        <v>-9000</v>
      </c>
      <c r="U48" s="27">
        <f t="shared" si="9"/>
        <v>-9000</v>
      </c>
      <c r="V48" s="27">
        <f t="shared" si="9"/>
        <v>-9000</v>
      </c>
      <c r="W48" s="27">
        <f t="shared" si="9"/>
        <v>-9000</v>
      </c>
    </row>
    <row r="49" spans="1:23" ht="15.75">
      <c r="A49" s="26" t="s">
        <v>76</v>
      </c>
      <c r="B49" s="33" t="s">
        <v>81</v>
      </c>
      <c r="C49" s="27"/>
      <c r="D49" s="27"/>
      <c r="E49" s="27"/>
      <c r="F49" s="27">
        <f>(-1985000*0.05)+(-198500*0.08)</f>
        <v>-115130</v>
      </c>
      <c r="G49" s="27">
        <f t="shared" si="8"/>
        <v>-115130</v>
      </c>
      <c r="H49" s="27">
        <f t="shared" si="9"/>
        <v>-115130</v>
      </c>
      <c r="I49" s="27">
        <f t="shared" si="9"/>
        <v>-115130</v>
      </c>
      <c r="J49" s="27">
        <f>I49+(-446625*0.05)+(-446625*0.08)</f>
        <v>-173191.25</v>
      </c>
      <c r="K49" s="27">
        <f t="shared" si="9"/>
        <v>-173191.25</v>
      </c>
      <c r="L49" s="27">
        <f t="shared" si="9"/>
        <v>-173191.25</v>
      </c>
      <c r="M49" s="27">
        <f>L49</f>
        <v>-173191.25</v>
      </c>
      <c r="N49" s="27">
        <f t="shared" si="9"/>
        <v>-173191.25</v>
      </c>
      <c r="O49" s="27">
        <f t="shared" si="9"/>
        <v>-173191.25</v>
      </c>
      <c r="P49" s="27">
        <f t="shared" si="9"/>
        <v>-173191.25</v>
      </c>
      <c r="Q49" s="27">
        <f t="shared" si="9"/>
        <v>-173191.25</v>
      </c>
      <c r="R49" s="27">
        <f t="shared" si="9"/>
        <v>-173191.25</v>
      </c>
      <c r="S49" s="27">
        <f t="shared" si="9"/>
        <v>-173191.25</v>
      </c>
      <c r="T49" s="27">
        <f>S49+(-446625*0.05)+(-446625*0.08)</f>
        <v>-231252.5</v>
      </c>
      <c r="U49" s="27">
        <f t="shared" si="9"/>
        <v>-231252.5</v>
      </c>
      <c r="V49" s="27">
        <f t="shared" si="9"/>
        <v>-231252.5</v>
      </c>
      <c r="W49" s="27">
        <f t="shared" si="9"/>
        <v>-231252.5</v>
      </c>
    </row>
    <row r="50" spans="1:23" ht="15.75">
      <c r="A50" s="23" t="s">
        <v>67</v>
      </c>
      <c r="B50" s="33" t="s">
        <v>81</v>
      </c>
      <c r="C50" s="27"/>
      <c r="D50" s="27"/>
      <c r="E50" s="27"/>
      <c r="F50" s="27">
        <v>-1500</v>
      </c>
      <c r="G50" s="27">
        <f t="shared" si="8"/>
        <v>-1500</v>
      </c>
      <c r="H50" s="27">
        <f t="shared" si="9"/>
        <v>-1500</v>
      </c>
      <c r="I50" s="27">
        <f t="shared" si="9"/>
        <v>-1500</v>
      </c>
      <c r="J50" s="27">
        <f t="shared" si="9"/>
        <v>-1500</v>
      </c>
      <c r="K50" s="27">
        <f t="shared" si="9"/>
        <v>-1500</v>
      </c>
      <c r="L50" s="27">
        <f t="shared" si="9"/>
        <v>-1500</v>
      </c>
      <c r="M50" s="27">
        <f t="shared" si="9"/>
        <v>-1500</v>
      </c>
      <c r="N50" s="27">
        <f t="shared" si="9"/>
        <v>-1500</v>
      </c>
      <c r="O50" s="27">
        <f t="shared" si="9"/>
        <v>-1500</v>
      </c>
      <c r="P50" s="27">
        <f t="shared" si="9"/>
        <v>-1500</v>
      </c>
      <c r="Q50" s="27">
        <f t="shared" si="9"/>
        <v>-1500</v>
      </c>
      <c r="R50" s="27">
        <f t="shared" si="9"/>
        <v>-1500</v>
      </c>
      <c r="S50" s="27">
        <f t="shared" si="9"/>
        <v>-1500</v>
      </c>
      <c r="T50" s="27">
        <f t="shared" si="9"/>
        <v>-1500</v>
      </c>
      <c r="U50" s="27">
        <f t="shared" si="9"/>
        <v>-1500</v>
      </c>
      <c r="V50" s="27">
        <f t="shared" si="9"/>
        <v>-1500</v>
      </c>
      <c r="W50" s="27">
        <f t="shared" si="9"/>
        <v>-1500</v>
      </c>
    </row>
    <row r="51" spans="1:23" ht="15.75">
      <c r="A51" s="26" t="s">
        <v>78</v>
      </c>
      <c r="B51" s="33" t="s">
        <v>81</v>
      </c>
      <c r="C51" s="27"/>
      <c r="D51" s="27"/>
      <c r="E51" s="27"/>
      <c r="F51" s="27">
        <f>-48800+-15000</f>
        <v>-63800</v>
      </c>
      <c r="G51" s="27">
        <f t="shared" si="8"/>
        <v>-63800</v>
      </c>
      <c r="H51" s="27">
        <f t="shared" si="9"/>
        <v>-63800</v>
      </c>
      <c r="I51" s="27">
        <f t="shared" si="9"/>
        <v>-63800</v>
      </c>
      <c r="J51" s="27">
        <f t="shared" si="9"/>
        <v>-63800</v>
      </c>
      <c r="K51" s="27">
        <f t="shared" si="9"/>
        <v>-63800</v>
      </c>
      <c r="L51" s="27">
        <f t="shared" si="9"/>
        <v>-63800</v>
      </c>
      <c r="M51" s="27">
        <f t="shared" si="9"/>
        <v>-63800</v>
      </c>
      <c r="N51" s="27">
        <f t="shared" si="9"/>
        <v>-63800</v>
      </c>
      <c r="O51" s="27">
        <f t="shared" si="9"/>
        <v>-63800</v>
      </c>
      <c r="P51" s="27">
        <f t="shared" si="9"/>
        <v>-63800</v>
      </c>
      <c r="Q51" s="27">
        <f t="shared" si="9"/>
        <v>-63800</v>
      </c>
      <c r="R51" s="27">
        <f t="shared" si="9"/>
        <v>-63800</v>
      </c>
      <c r="S51" s="27">
        <f t="shared" si="9"/>
        <v>-63800</v>
      </c>
      <c r="T51" s="27">
        <f t="shared" si="9"/>
        <v>-63800</v>
      </c>
      <c r="U51" s="27">
        <f t="shared" si="9"/>
        <v>-63800</v>
      </c>
      <c r="V51" s="27">
        <f t="shared" si="9"/>
        <v>-63800</v>
      </c>
      <c r="W51" s="27">
        <f t="shared" si="9"/>
        <v>-63800</v>
      </c>
    </row>
    <row r="52" spans="1:24" ht="15.75">
      <c r="A52" s="36" t="s">
        <v>35</v>
      </c>
      <c r="B52" s="25"/>
      <c r="C52" s="24">
        <f>SUM(C44:C51)</f>
        <v>0</v>
      </c>
      <c r="D52" s="24">
        <f aca="true" t="shared" si="11" ref="D52:W52">SUM(D44:D51)</f>
        <v>0</v>
      </c>
      <c r="E52" s="24">
        <f t="shared" si="11"/>
        <v>0</v>
      </c>
      <c r="F52" s="24">
        <f t="shared" si="11"/>
        <v>-353555</v>
      </c>
      <c r="G52" s="24">
        <f t="shared" si="11"/>
        <v>-303930</v>
      </c>
      <c r="H52" s="24">
        <f t="shared" si="11"/>
        <v>-303930</v>
      </c>
      <c r="I52" s="24">
        <f t="shared" si="11"/>
        <v>-303930</v>
      </c>
      <c r="J52" s="24">
        <f t="shared" si="11"/>
        <v>-361991.25</v>
      </c>
      <c r="K52" s="24">
        <f t="shared" si="11"/>
        <v>-361991.25</v>
      </c>
      <c r="L52" s="24">
        <f t="shared" si="11"/>
        <v>-361991.25</v>
      </c>
      <c r="M52" s="24">
        <f t="shared" si="11"/>
        <v>-361991.25</v>
      </c>
      <c r="N52" s="24">
        <f t="shared" si="11"/>
        <v>-361991.25</v>
      </c>
      <c r="O52" s="24">
        <f t="shared" si="11"/>
        <v>-361991.25</v>
      </c>
      <c r="P52" s="24">
        <f t="shared" si="11"/>
        <v>-361991.25</v>
      </c>
      <c r="Q52" s="24">
        <f t="shared" si="11"/>
        <v>-361991.25</v>
      </c>
      <c r="R52" s="24">
        <f t="shared" si="11"/>
        <v>-361991.25</v>
      </c>
      <c r="S52" s="24">
        <f t="shared" si="11"/>
        <v>-361991.25</v>
      </c>
      <c r="T52" s="24">
        <f t="shared" si="11"/>
        <v>-420052.5</v>
      </c>
      <c r="U52" s="24">
        <f t="shared" si="11"/>
        <v>-420052.5</v>
      </c>
      <c r="V52" s="24">
        <f t="shared" si="11"/>
        <v>-420052.5</v>
      </c>
      <c r="W52" s="24">
        <f t="shared" si="11"/>
        <v>-420052.5</v>
      </c>
      <c r="X52" s="49">
        <f>SUM(C52:W52)</f>
        <v>-6565467.5</v>
      </c>
    </row>
    <row r="55" spans="1:23" s="132" customFormat="1" ht="15.75">
      <c r="A55" s="131" t="s">
        <v>109</v>
      </c>
      <c r="C55" s="133">
        <f>C15+C16+C17+C18+C26+C27+C28+C29+C30+C31</f>
        <v>0</v>
      </c>
      <c r="D55" s="133">
        <f aca="true" t="shared" si="12" ref="D55:W55">D15+D16+D17+D18+D26+D27+D28+D29+D30+D31</f>
        <v>-44550</v>
      </c>
      <c r="E55" s="133">
        <f t="shared" si="12"/>
        <v>-1786500</v>
      </c>
      <c r="F55" s="133">
        <f t="shared" si="12"/>
        <v>0</v>
      </c>
      <c r="G55" s="133">
        <f t="shared" si="12"/>
        <v>0</v>
      </c>
      <c r="H55" s="133">
        <f t="shared" si="12"/>
        <v>0</v>
      </c>
      <c r="I55" s="133">
        <f t="shared" si="12"/>
        <v>-11137.5</v>
      </c>
      <c r="J55" s="133">
        <f t="shared" si="12"/>
        <v>-446625</v>
      </c>
      <c r="K55" s="133">
        <f t="shared" si="12"/>
        <v>0</v>
      </c>
      <c r="L55" s="133">
        <f t="shared" si="12"/>
        <v>0</v>
      </c>
      <c r="M55" s="133">
        <f t="shared" si="12"/>
        <v>0</v>
      </c>
      <c r="N55" s="133">
        <f t="shared" si="12"/>
        <v>0</v>
      </c>
      <c r="O55" s="133">
        <f t="shared" si="12"/>
        <v>0</v>
      </c>
      <c r="P55" s="133">
        <f t="shared" si="12"/>
        <v>0</v>
      </c>
      <c r="Q55" s="133">
        <f t="shared" si="12"/>
        <v>0</v>
      </c>
      <c r="R55" s="133">
        <f t="shared" si="12"/>
        <v>0</v>
      </c>
      <c r="S55" s="133">
        <f t="shared" si="12"/>
        <v>-11137.5</v>
      </c>
      <c r="T55" s="133">
        <f t="shared" si="12"/>
        <v>-446625</v>
      </c>
      <c r="U55" s="133">
        <f t="shared" si="12"/>
        <v>0</v>
      </c>
      <c r="V55" s="133">
        <f t="shared" si="12"/>
        <v>0</v>
      </c>
      <c r="W55" s="133">
        <f t="shared" si="12"/>
        <v>0</v>
      </c>
    </row>
    <row r="56" spans="1:23" ht="15.75">
      <c r="A56" s="36" t="s">
        <v>110</v>
      </c>
      <c r="C56" s="65">
        <f>C9+C10+C11+C12+C19+C20+C21+C22+C23+C34+C35+C36+C37+C38+C39+C40+C41+C44+C45+C46+C47+C48+C49+C50+C51</f>
        <v>-17700</v>
      </c>
      <c r="D56" s="65">
        <f aca="true" t="shared" si="13" ref="D56:W56">D9+D10+D11+D12+D19+D20+D21+D22+D23+D34+D35+D36+D37+D38+D39+D40+D41+D44+D45+D46+D47+D48+D49+D50+D51</f>
        <v>-90500</v>
      </c>
      <c r="E56" s="65">
        <f t="shared" si="13"/>
        <v>0</v>
      </c>
      <c r="F56" s="65">
        <f t="shared" si="13"/>
        <v>-396305</v>
      </c>
      <c r="G56" s="65">
        <f t="shared" si="13"/>
        <v>-346680</v>
      </c>
      <c r="H56" s="65">
        <f t="shared" si="13"/>
        <v>-351105</v>
      </c>
      <c r="I56" s="65">
        <f t="shared" si="13"/>
        <v>-369305</v>
      </c>
      <c r="J56" s="65">
        <f>J9+J10+J11+J12+J19+J20+J21+J22+J23+J34+J35+J36+J37+J38+J39+J40+J41+J44+J45+J46+J47+J48+J49+J50+J51</f>
        <v>-404741.25</v>
      </c>
      <c r="K56" s="65">
        <f>K9+K10+K11+K12+K19+K20+K21+K22+K23+K34+K35+K36+K37+K38+K39+K40+K41+K44+K45+K46+K47+K48+K49+K50+K51</f>
        <v>-404741.25</v>
      </c>
      <c r="L56" s="65">
        <f t="shared" si="13"/>
        <v>-404741.25</v>
      </c>
      <c r="M56" s="65">
        <f t="shared" si="13"/>
        <v>-404741.25</v>
      </c>
      <c r="N56" s="65">
        <f t="shared" si="13"/>
        <v>-404741.25</v>
      </c>
      <c r="O56" s="65">
        <f t="shared" si="13"/>
        <v>-419741.25</v>
      </c>
      <c r="P56" s="65">
        <f t="shared" si="13"/>
        <v>-404741.25</v>
      </c>
      <c r="Q56" s="65">
        <f t="shared" si="13"/>
        <v>-404741.25</v>
      </c>
      <c r="R56" s="65">
        <f t="shared" si="13"/>
        <v>-409166.25</v>
      </c>
      <c r="S56" s="65">
        <f t="shared" si="13"/>
        <v>-427366.25</v>
      </c>
      <c r="T56" s="65">
        <f t="shared" si="13"/>
        <v>-477802.5</v>
      </c>
      <c r="U56" s="65">
        <f t="shared" si="13"/>
        <v>-462802.5</v>
      </c>
      <c r="V56" s="65">
        <f t="shared" si="13"/>
        <v>-462802.5</v>
      </c>
      <c r="W56" s="65">
        <f t="shared" si="13"/>
        <v>-462802.5</v>
      </c>
    </row>
    <row r="57" spans="1:25" s="46" customFormat="1" ht="15.75">
      <c r="A57" s="36" t="s">
        <v>75</v>
      </c>
      <c r="B57" s="29"/>
      <c r="C57" s="65">
        <v>0</v>
      </c>
      <c r="D57" s="65">
        <v>0</v>
      </c>
      <c r="E57" s="66">
        <v>0</v>
      </c>
      <c r="F57" s="65">
        <v>260000</v>
      </c>
      <c r="G57" s="65">
        <f>F57</f>
        <v>260000</v>
      </c>
      <c r="H57" s="65">
        <f aca="true" t="shared" si="14" ref="H57:W57">G57</f>
        <v>260000</v>
      </c>
      <c r="I57" s="65">
        <f t="shared" si="14"/>
        <v>260000</v>
      </c>
      <c r="J57" s="65">
        <v>100000</v>
      </c>
      <c r="K57" s="65">
        <v>300000</v>
      </c>
      <c r="L57" s="65">
        <f t="shared" si="14"/>
        <v>300000</v>
      </c>
      <c r="M57" s="65">
        <v>300000</v>
      </c>
      <c r="N57" s="65">
        <v>300000</v>
      </c>
      <c r="O57" s="65">
        <v>270000</v>
      </c>
      <c r="P57" s="65">
        <v>300000</v>
      </c>
      <c r="Q57" s="65">
        <f t="shared" si="14"/>
        <v>300000</v>
      </c>
      <c r="R57" s="65">
        <f t="shared" si="14"/>
        <v>300000</v>
      </c>
      <c r="S57" s="65">
        <f t="shared" si="14"/>
        <v>300000</v>
      </c>
      <c r="T57" s="65">
        <v>270000</v>
      </c>
      <c r="U57" s="65">
        <v>300000</v>
      </c>
      <c r="V57" s="65">
        <f t="shared" si="14"/>
        <v>300000</v>
      </c>
      <c r="W57" s="65">
        <f t="shared" si="14"/>
        <v>300000</v>
      </c>
      <c r="X57" s="48">
        <f>SUM(C57:W57)</f>
        <v>4980000</v>
      </c>
      <c r="Y57" s="48">
        <f>SUM(X13:X52)</f>
        <v>-10273842.5</v>
      </c>
    </row>
    <row r="59" spans="1:23" ht="15.75">
      <c r="A59" s="29"/>
      <c r="B59" s="29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</row>
    <row r="60" spans="1:25" s="46" customFormat="1" ht="15.75">
      <c r="A60" s="36" t="s">
        <v>120</v>
      </c>
      <c r="B60" s="29"/>
      <c r="C60" s="47">
        <f aca="true" t="shared" si="15" ref="C60:W60">(C13+C24+C32+C42+C52)+C57</f>
        <v>-17700</v>
      </c>
      <c r="D60" s="47">
        <f t="shared" si="15"/>
        <v>-135050</v>
      </c>
      <c r="E60" s="47">
        <f t="shared" si="15"/>
        <v>-1786500</v>
      </c>
      <c r="F60" s="47">
        <f t="shared" si="15"/>
        <v>-136305</v>
      </c>
      <c r="G60" s="47">
        <f t="shared" si="15"/>
        <v>-86680</v>
      </c>
      <c r="H60" s="47">
        <f t="shared" si="15"/>
        <v>-91105</v>
      </c>
      <c r="I60" s="47">
        <f t="shared" si="15"/>
        <v>-120442.5</v>
      </c>
      <c r="J60" s="47">
        <f t="shared" si="15"/>
        <v>-751366.25</v>
      </c>
      <c r="K60" s="47">
        <f t="shared" si="15"/>
        <v>-104741.25</v>
      </c>
      <c r="L60" s="47">
        <f t="shared" si="15"/>
        <v>-104741.25</v>
      </c>
      <c r="M60" s="47">
        <f t="shared" si="15"/>
        <v>-104741.25</v>
      </c>
      <c r="N60" s="47">
        <f t="shared" si="15"/>
        <v>-104741.25</v>
      </c>
      <c r="O60" s="47">
        <f t="shared" si="15"/>
        <v>-149741.25</v>
      </c>
      <c r="P60" s="47">
        <f t="shared" si="15"/>
        <v>-104741.25</v>
      </c>
      <c r="Q60" s="47">
        <f t="shared" si="15"/>
        <v>-104741.25</v>
      </c>
      <c r="R60" s="47">
        <f t="shared" si="15"/>
        <v>-109166.25</v>
      </c>
      <c r="S60" s="47">
        <f t="shared" si="15"/>
        <v>-138503.75</v>
      </c>
      <c r="T60" s="47">
        <f t="shared" si="15"/>
        <v>-654427.5</v>
      </c>
      <c r="U60" s="47">
        <f t="shared" si="15"/>
        <v>-162802.5</v>
      </c>
      <c r="V60" s="47">
        <f t="shared" si="15"/>
        <v>-162802.5</v>
      </c>
      <c r="W60" s="47">
        <f t="shared" si="15"/>
        <v>-162802.5</v>
      </c>
      <c r="X60" s="48">
        <f>SUM(C60:W60)</f>
        <v>-5293842.5</v>
      </c>
      <c r="Y60" s="48" t="s">
        <v>37</v>
      </c>
    </row>
    <row r="61" spans="1:24" ht="15.75">
      <c r="A61" s="29"/>
      <c r="B61" s="29"/>
      <c r="C61" s="134"/>
      <c r="D61" s="134"/>
      <c r="E61" s="134"/>
      <c r="F61" s="134"/>
      <c r="G61" s="134"/>
      <c r="H61" s="134"/>
      <c r="I61" s="134"/>
      <c r="J61" s="134"/>
      <c r="K61" s="134"/>
      <c r="L61" s="134"/>
      <c r="M61" s="134"/>
      <c r="N61" s="134"/>
      <c r="O61" s="134"/>
      <c r="P61" s="134"/>
      <c r="Q61" s="134"/>
      <c r="R61" s="134"/>
      <c r="S61" s="134"/>
      <c r="T61" s="134"/>
      <c r="U61" s="134"/>
      <c r="V61" s="134"/>
      <c r="W61" s="134"/>
      <c r="X61" s="135"/>
    </row>
    <row r="62" spans="3:23" ht="15.75">
      <c r="C62" s="136"/>
      <c r="D62" s="136"/>
      <c r="E62" s="136"/>
      <c r="F62" s="136"/>
      <c r="G62" s="136"/>
      <c r="H62" s="136"/>
      <c r="I62" s="136"/>
      <c r="J62" s="136"/>
      <c r="K62" s="136"/>
      <c r="L62" s="136"/>
      <c r="M62" s="136"/>
      <c r="N62" s="136"/>
      <c r="O62" s="136"/>
      <c r="P62" s="136"/>
      <c r="Q62" s="136"/>
      <c r="R62" s="136"/>
      <c r="S62" s="136"/>
      <c r="T62" s="136"/>
      <c r="U62" s="136"/>
      <c r="V62" s="136"/>
      <c r="W62" s="136"/>
    </row>
  </sheetData>
  <sheetProtection password="D899" sheet="1" objects="1" scenarios="1"/>
  <mergeCells count="2">
    <mergeCell ref="A1:W1"/>
    <mergeCell ref="A2:W2"/>
  </mergeCells>
  <printOptions horizontalCentered="1" verticalCentered="1"/>
  <pageMargins left="0.26" right="0.2" top="0.26" bottom="0.31" header="0.27" footer="0.31"/>
  <pageSetup fitToHeight="1" fitToWidth="1" horizontalDpi="600" verticalDpi="600" orientation="landscape" paperSize="9" scale="46" r:id="rId3"/>
  <headerFooter alignWithMargins="0">
    <oddFooter>&amp;R&amp;14 33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B6"/>
  <sheetViews>
    <sheetView tabSelected="1" workbookViewId="0" topLeftCell="A1">
      <selection activeCell="E5" sqref="E5"/>
    </sheetView>
  </sheetViews>
  <sheetFormatPr defaultColWidth="9.00390625" defaultRowHeight="15.75"/>
  <cols>
    <col min="1" max="1" width="13.75390625" style="0" customWidth="1"/>
    <col min="2" max="2" width="10.625" style="0" customWidth="1"/>
  </cols>
  <sheetData>
    <row r="1" spans="1:2" ht="15.75">
      <c r="A1" s="5" t="s">
        <v>3</v>
      </c>
      <c r="B1" s="137">
        <v>2005</v>
      </c>
    </row>
    <row r="2" spans="1:2" ht="15.75">
      <c r="A2" s="7" t="s">
        <v>36</v>
      </c>
      <c r="B2">
        <v>20</v>
      </c>
    </row>
    <row r="3" spans="1:2" ht="15.75">
      <c r="A3" s="7" t="s">
        <v>6</v>
      </c>
      <c r="B3" s="18">
        <v>31</v>
      </c>
    </row>
    <row r="4" spans="1:2" ht="15.75">
      <c r="A4" s="7" t="s">
        <v>7</v>
      </c>
      <c r="B4">
        <v>119</v>
      </c>
    </row>
    <row r="5" spans="1:2" ht="15.75">
      <c r="A5" s="7" t="s">
        <v>9</v>
      </c>
      <c r="B5">
        <v>90</v>
      </c>
    </row>
    <row r="6" spans="1:2" ht="15.75">
      <c r="A6" s="7" t="s">
        <v>11</v>
      </c>
      <c r="B6">
        <v>150</v>
      </c>
    </row>
  </sheetData>
  <sheetProtection password="D899" sheet="1" objects="1" scenarios="1"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Sport and Recreation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Life Cycle Cost Model</dc:title>
  <dc:subject>Life Cycle Cost Model</dc:subject>
  <dc:creator/>
  <cp:keywords>Site=Perth,Divn=Facilities and Camps,FileNo=</cp:keywords>
  <dc:description>DocType=Other,DocSec=OInternal Use Only</dc:description>
  <cp:lastModifiedBy>SRWA</cp:lastModifiedBy>
  <cp:lastPrinted>2005-03-15T01:29:36Z</cp:lastPrinted>
  <dcterms:created xsi:type="dcterms:W3CDTF">2004-07-22T07:03:57Z</dcterms:created>
  <dcterms:modified xsi:type="dcterms:W3CDTF">2005-05-26T04:40:56Z</dcterms:modified>
  <cp:category>VersionBy=btreby,VersionDate=22 Jul 2004 15:07:11</cp:category>
  <cp:version/>
  <cp:contentType/>
  <cp:contentStatus/>
</cp:coreProperties>
</file>